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mmy.baloyicloud.com/Desktop/"/>
    </mc:Choice>
  </mc:AlternateContent>
  <workbookProtection workbookPassword="C762" lockStructure="1"/>
  <bookViews>
    <workbookView xWindow="0" yWindow="0" windowWidth="28800" windowHeight="18000" tabRatio="595" firstSheet="1" activeTab="1"/>
  </bookViews>
  <sheets>
    <sheet name="REMUNERATION" sheetId="11" state="hidden" r:id="rId1"/>
    <sheet name="CAP BUD" sheetId="36" r:id="rId2"/>
    <sheet name="OPERATING BUDGET" sheetId="1" r:id="rId3"/>
  </sheets>
  <definedNames>
    <definedName name="_xlnm._FilterDatabase" localSheetId="1" hidden="1">'CAP BUD'!$L$1:$L$71</definedName>
    <definedName name="_xlnm.Criteria" localSheetId="1">'CAP BUD'!$B:$K</definedName>
    <definedName name="_xlnm.Print_Area" localSheetId="1">'CAP BUD'!$A$1:$K$72</definedName>
    <definedName name="_xlnm.Print_Area" localSheetId="2">'OPERATING BUDGET'!$A$2:$E$1260</definedName>
    <definedName name="_xlnm.Print_Area" localSheetId="0">REMUNERATION!$A$1:$P$309</definedName>
    <definedName name="_xlnm.Print_Titles" localSheetId="1">'CAP BUD'!$1:$9</definedName>
    <definedName name="_xlnm.Print_Titles" localSheetId="2">'OPERATING BUDGET'!$2:$2</definedName>
    <definedName name="Z_EFD6A600_DB1E_11D3_A0EC_00104BF6519C_.wvu.Cols" localSheetId="1" hidden="1">'CAP BUD'!#REF!,'CAP BUD'!#REF!,'CAP BUD'!#REF!</definedName>
    <definedName name="Z_EFD6A600_DB1E_11D3_A0EC_00104BF6519C_.wvu.PrintTitles" localSheetId="1" hidden="1">'CAP BUD'!$8:$9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36" l="1"/>
  <c r="K274" i="11"/>
  <c r="K263" i="11"/>
  <c r="K262" i="11"/>
  <c r="K261" i="11"/>
  <c r="K260" i="11"/>
  <c r="K259" i="11"/>
  <c r="K258" i="11"/>
  <c r="K252" i="11"/>
  <c r="K251" i="11"/>
  <c r="K250" i="11"/>
  <c r="K249" i="11"/>
  <c r="K233" i="11"/>
  <c r="K232" i="11"/>
  <c r="K220" i="11"/>
  <c r="K219" i="11"/>
  <c r="K218" i="11"/>
  <c r="K217" i="11"/>
  <c r="K207" i="11"/>
  <c r="K193" i="11"/>
  <c r="K192" i="11"/>
  <c r="K191" i="11"/>
  <c r="K190" i="11"/>
  <c r="K162" i="11"/>
  <c r="K144" i="11"/>
  <c r="K143" i="11"/>
  <c r="K142" i="11"/>
  <c r="K107" i="11"/>
  <c r="K106" i="11"/>
  <c r="K72" i="11"/>
  <c r="K71" i="11"/>
  <c r="K70" i="11"/>
  <c r="K69" i="11"/>
  <c r="K68" i="11"/>
  <c r="K67" i="11"/>
  <c r="K66" i="11"/>
  <c r="K27" i="11"/>
  <c r="K15" i="11"/>
  <c r="I24" i="36"/>
  <c r="C718" i="1"/>
  <c r="E178" i="11"/>
  <c r="E177" i="11"/>
  <c r="D590" i="1"/>
  <c r="D591" i="1"/>
  <c r="C164" i="1"/>
  <c r="B164" i="1"/>
  <c r="C72" i="1"/>
  <c r="B72" i="1"/>
  <c r="I15" i="36"/>
  <c r="I18" i="36"/>
  <c r="I25" i="36"/>
  <c r="H248" i="11"/>
  <c r="H273" i="11"/>
  <c r="H274" i="11"/>
  <c r="H192" i="11"/>
  <c r="H191" i="11"/>
  <c r="H193" i="11"/>
  <c r="H219" i="11"/>
  <c r="H287" i="11"/>
  <c r="H220" i="11"/>
  <c r="H218" i="11"/>
  <c r="H224" i="11"/>
  <c r="H147" i="11"/>
  <c r="H141" i="11"/>
  <c r="H142" i="11"/>
  <c r="H144" i="11"/>
  <c r="H128" i="11"/>
  <c r="H122" i="11"/>
  <c r="H113" i="11"/>
  <c r="H116" i="11"/>
  <c r="H81" i="11"/>
  <c r="H72" i="11"/>
  <c r="H76" i="11"/>
  <c r="H73" i="11"/>
  <c r="H86" i="11"/>
  <c r="H71" i="11"/>
  <c r="H53" i="11"/>
  <c r="H28" i="11"/>
  <c r="H165" i="11"/>
  <c r="H162" i="11"/>
  <c r="H174" i="11"/>
  <c r="H168" i="11"/>
  <c r="C479" i="1"/>
  <c r="C478" i="1"/>
  <c r="C477" i="1"/>
  <c r="C476" i="1"/>
  <c r="C475" i="1"/>
  <c r="C474" i="1"/>
  <c r="C414" i="1"/>
  <c r="C413" i="1"/>
  <c r="C412" i="1"/>
  <c r="C411" i="1"/>
  <c r="C410" i="1"/>
  <c r="C409" i="1"/>
  <c r="C345" i="1"/>
  <c r="C344" i="1"/>
  <c r="C342" i="1"/>
  <c r="C341" i="1"/>
  <c r="C339" i="1"/>
  <c r="C338" i="1"/>
  <c r="C337" i="1"/>
  <c r="C277" i="1"/>
  <c r="C276" i="1"/>
  <c r="C275" i="1"/>
  <c r="C274" i="1"/>
  <c r="C273" i="1"/>
  <c r="C272" i="1"/>
  <c r="C563" i="1"/>
  <c r="D1019" i="1"/>
  <c r="E1019" i="1"/>
  <c r="F95" i="11"/>
  <c r="E95" i="11"/>
  <c r="F94" i="11"/>
  <c r="E94" i="11"/>
  <c r="F93" i="11"/>
  <c r="E93" i="11"/>
  <c r="F92" i="11"/>
  <c r="E92" i="11"/>
  <c r="F91" i="11"/>
  <c r="E91" i="11"/>
  <c r="F90" i="11"/>
  <c r="E90" i="11"/>
  <c r="K287" i="11"/>
  <c r="I287" i="11"/>
  <c r="F287" i="11"/>
  <c r="N287" i="11"/>
  <c r="P300" i="11"/>
  <c r="O300" i="11"/>
  <c r="L300" i="11"/>
  <c r="J300" i="11"/>
  <c r="F141" i="11"/>
  <c r="H161" i="11"/>
  <c r="F161" i="11"/>
  <c r="F105" i="11"/>
  <c r="H105" i="11"/>
  <c r="K189" i="11"/>
  <c r="H189" i="11"/>
  <c r="H247" i="11"/>
  <c r="H65" i="11"/>
  <c r="F65" i="11"/>
  <c r="F295" i="11"/>
  <c r="F294" i="11"/>
  <c r="F291" i="11"/>
  <c r="F289" i="11"/>
  <c r="F292" i="11"/>
  <c r="F290" i="11"/>
  <c r="H290" i="11"/>
  <c r="H294" i="11"/>
  <c r="H288" i="11"/>
  <c r="F288" i="11"/>
  <c r="I288" i="11"/>
  <c r="K288" i="11"/>
  <c r="I289" i="11"/>
  <c r="I290" i="11"/>
  <c r="I291" i="11"/>
  <c r="I292" i="11"/>
  <c r="I293" i="11"/>
  <c r="I294" i="11"/>
  <c r="I295" i="11"/>
  <c r="I296" i="11"/>
  <c r="F296" i="11"/>
  <c r="I267" i="11"/>
  <c r="H267" i="11"/>
  <c r="F267" i="11"/>
  <c r="N267" i="11"/>
  <c r="M267" i="11"/>
  <c r="F273" i="11"/>
  <c r="F265" i="11"/>
  <c r="F248" i="11"/>
  <c r="F255" i="11"/>
  <c r="E271" i="11"/>
  <c r="F275" i="11"/>
  <c r="F272" i="11"/>
  <c r="F263" i="11"/>
  <c r="F262" i="11"/>
  <c r="F260" i="11"/>
  <c r="F261" i="11"/>
  <c r="F254" i="11"/>
  <c r="F274" i="11"/>
  <c r="F250" i="11"/>
  <c r="F249" i="11"/>
  <c r="F258" i="11"/>
  <c r="F252" i="11"/>
  <c r="F268" i="11"/>
  <c r="F247" i="11"/>
  <c r="F259" i="11"/>
  <c r="F256" i="11"/>
  <c r="F253" i="11"/>
  <c r="F264" i="11"/>
  <c r="K247" i="11"/>
  <c r="F190" i="11"/>
  <c r="F191" i="11"/>
  <c r="F192" i="11"/>
  <c r="F197" i="11"/>
  <c r="F196" i="11"/>
  <c r="F194" i="11"/>
  <c r="F193" i="11"/>
  <c r="F195" i="11"/>
  <c r="F189" i="11"/>
  <c r="E718" i="1"/>
  <c r="E164" i="1"/>
  <c r="D164" i="1"/>
  <c r="I300" i="11"/>
  <c r="G267" i="11"/>
  <c r="E267" i="11"/>
  <c r="E287" i="11"/>
  <c r="F221" i="11"/>
  <c r="F219" i="11"/>
  <c r="F220" i="11"/>
  <c r="F222" i="11"/>
  <c r="F218" i="11"/>
  <c r="F217" i="11"/>
  <c r="F224" i="11"/>
  <c r="F223" i="11"/>
  <c r="I224" i="11"/>
  <c r="I223" i="11"/>
  <c r="I222" i="11"/>
  <c r="I221" i="11"/>
  <c r="I220" i="11"/>
  <c r="I219" i="11"/>
  <c r="I218" i="11"/>
  <c r="I217" i="11"/>
  <c r="F209" i="11"/>
  <c r="F208" i="11"/>
  <c r="F207" i="11"/>
  <c r="I209" i="11"/>
  <c r="I208" i="11"/>
  <c r="I207" i="11"/>
  <c r="I197" i="11"/>
  <c r="I196" i="11"/>
  <c r="I195" i="11"/>
  <c r="I194" i="11"/>
  <c r="I193" i="11"/>
  <c r="I192" i="11"/>
  <c r="I191" i="11"/>
  <c r="I190" i="11"/>
  <c r="F170" i="11"/>
  <c r="F172" i="11"/>
  <c r="F165" i="11"/>
  <c r="F168" i="11"/>
  <c r="F166" i="11"/>
  <c r="F169" i="11"/>
  <c r="F171" i="11"/>
  <c r="F173" i="11"/>
  <c r="F174" i="11"/>
  <c r="F164" i="11"/>
  <c r="F179" i="11"/>
  <c r="F167" i="11"/>
  <c r="F163" i="11"/>
  <c r="K161" i="11"/>
  <c r="F162" i="11"/>
  <c r="I179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F147" i="11"/>
  <c r="F146" i="11"/>
  <c r="E149" i="11"/>
  <c r="I42" i="11"/>
  <c r="F42" i="11"/>
  <c r="F145" i="11"/>
  <c r="F144" i="11"/>
  <c r="F143" i="11"/>
  <c r="F142" i="11"/>
  <c r="K141" i="11"/>
  <c r="I147" i="11"/>
  <c r="I146" i="11"/>
  <c r="I145" i="11"/>
  <c r="I144" i="11"/>
  <c r="I143" i="11"/>
  <c r="I142" i="11"/>
  <c r="H110" i="11"/>
  <c r="H119" i="11"/>
  <c r="H117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6" i="11"/>
  <c r="F115" i="11"/>
  <c r="F114" i="11"/>
  <c r="F113" i="11"/>
  <c r="F112" i="11"/>
  <c r="F111" i="11"/>
  <c r="F110" i="11"/>
  <c r="F109" i="11"/>
  <c r="F107" i="11"/>
  <c r="F106" i="11"/>
  <c r="F118" i="11"/>
  <c r="F117" i="11"/>
  <c r="F88" i="11"/>
  <c r="K113" i="11"/>
  <c r="K105" i="11"/>
  <c r="I131" i="11"/>
  <c r="I130" i="11"/>
  <c r="I129" i="11"/>
  <c r="I128" i="11"/>
  <c r="I127" i="11"/>
  <c r="I126" i="11"/>
  <c r="I125" i="11"/>
  <c r="I124" i="11"/>
  <c r="I123" i="11"/>
  <c r="I122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7" i="11"/>
  <c r="I106" i="11"/>
  <c r="F87" i="11"/>
  <c r="F69" i="11"/>
  <c r="F68" i="11"/>
  <c r="F67" i="11"/>
  <c r="F66" i="11"/>
  <c r="F85" i="11"/>
  <c r="F80" i="11"/>
  <c r="F89" i="11"/>
  <c r="F86" i="11"/>
  <c r="F84" i="11"/>
  <c r="F83" i="11"/>
  <c r="F81" i="11"/>
  <c r="F79" i="11"/>
  <c r="F78" i="11"/>
  <c r="F75" i="11"/>
  <c r="F77" i="11"/>
  <c r="F76" i="11"/>
  <c r="F74" i="11"/>
  <c r="F73" i="11"/>
  <c r="K85" i="11"/>
  <c r="K79" i="11"/>
  <c r="K73" i="11"/>
  <c r="K65" i="11"/>
  <c r="K89" i="11"/>
  <c r="I89" i="11"/>
  <c r="I88" i="11"/>
  <c r="I87" i="11"/>
  <c r="I86" i="11"/>
  <c r="I85" i="11"/>
  <c r="I84" i="11"/>
  <c r="I83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F70" i="11"/>
  <c r="F72" i="11"/>
  <c r="I56" i="11"/>
  <c r="I55" i="11"/>
  <c r="I54" i="11"/>
  <c r="I53" i="11"/>
  <c r="I52" i="11"/>
  <c r="I51" i="11"/>
  <c r="I50" i="11"/>
  <c r="F56" i="11"/>
  <c r="F55" i="11"/>
  <c r="F54" i="11"/>
  <c r="F53" i="11"/>
  <c r="F52" i="11"/>
  <c r="F51" i="11"/>
  <c r="F50" i="11"/>
  <c r="F18" i="11"/>
  <c r="F34" i="11"/>
  <c r="F33" i="11"/>
  <c r="F32" i="11"/>
  <c r="F31" i="11"/>
  <c r="F30" i="11"/>
  <c r="F27" i="11"/>
  <c r="F28" i="11"/>
  <c r="F29" i="11"/>
  <c r="K33" i="11"/>
  <c r="K32" i="11"/>
  <c r="K31" i="11"/>
  <c r="K30" i="11"/>
  <c r="I34" i="11"/>
  <c r="I33" i="11"/>
  <c r="I32" i="11"/>
  <c r="I31" i="11"/>
  <c r="I30" i="11"/>
  <c r="I29" i="11"/>
  <c r="I28" i="11"/>
  <c r="I27" i="11"/>
  <c r="F235" i="11"/>
  <c r="F234" i="11"/>
  <c r="F233" i="11"/>
  <c r="H233" i="11"/>
  <c r="H232" i="11"/>
  <c r="F232" i="11"/>
  <c r="I235" i="11"/>
  <c r="I234" i="11"/>
  <c r="I233" i="11"/>
  <c r="I232" i="11"/>
  <c r="F19" i="11"/>
  <c r="H18" i="11"/>
  <c r="H15" i="11"/>
  <c r="H17" i="11"/>
  <c r="F17" i="11"/>
  <c r="H16" i="11"/>
  <c r="F16" i="11"/>
  <c r="I275" i="11"/>
  <c r="I274" i="11"/>
  <c r="I273" i="11"/>
  <c r="I272" i="11"/>
  <c r="I268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0" i="11"/>
  <c r="I249" i="11"/>
  <c r="I248" i="11"/>
  <c r="I251" i="11"/>
  <c r="F251" i="11"/>
  <c r="I18" i="11"/>
  <c r="I17" i="11"/>
  <c r="I16" i="11"/>
  <c r="I19" i="11"/>
  <c r="I15" i="11"/>
  <c r="F71" i="11"/>
  <c r="F15" i="11"/>
  <c r="C1256" i="1"/>
  <c r="D1256" i="1"/>
  <c r="C1255" i="1"/>
  <c r="C1234" i="1"/>
  <c r="C1227" i="1"/>
  <c r="D1227" i="1"/>
  <c r="C1226" i="1"/>
  <c r="C1224" i="1"/>
  <c r="C1222" i="1"/>
  <c r="C1219" i="1"/>
  <c r="D1219" i="1"/>
  <c r="C1176" i="1"/>
  <c r="C1161" i="1"/>
  <c r="C1154" i="1"/>
  <c r="C1153" i="1"/>
  <c r="D1153" i="1"/>
  <c r="C1152" i="1"/>
  <c r="D1152" i="1"/>
  <c r="C1151" i="1"/>
  <c r="C1148" i="1"/>
  <c r="C1147" i="1"/>
  <c r="C1146" i="1"/>
  <c r="C1145" i="1"/>
  <c r="C1143" i="1"/>
  <c r="C1105" i="1"/>
  <c r="D1105" i="1"/>
  <c r="C1104" i="1"/>
  <c r="C1103" i="1"/>
  <c r="C1102" i="1"/>
  <c r="C1083" i="1"/>
  <c r="D1083" i="1"/>
  <c r="C1082" i="1"/>
  <c r="D1082" i="1"/>
  <c r="E1082" i="1"/>
  <c r="C1042" i="1"/>
  <c r="C1041" i="1"/>
  <c r="C1017" i="1"/>
  <c r="C1015" i="1"/>
  <c r="C1014" i="1"/>
  <c r="D1014" i="1"/>
  <c r="C982" i="1"/>
  <c r="C981" i="1"/>
  <c r="D981" i="1"/>
  <c r="D959" i="1"/>
  <c r="C958" i="1"/>
  <c r="D958" i="1"/>
  <c r="D957" i="1"/>
  <c r="C955" i="1"/>
  <c r="D955" i="1"/>
  <c r="C928" i="1"/>
  <c r="D928" i="1"/>
  <c r="C905" i="1"/>
  <c r="C902" i="1"/>
  <c r="C900" i="1"/>
  <c r="D900" i="1"/>
  <c r="C867" i="1"/>
  <c r="D867" i="1"/>
  <c r="C846" i="1"/>
  <c r="C844" i="1"/>
  <c r="C839" i="1"/>
  <c r="C837" i="1"/>
  <c r="C836" i="1"/>
  <c r="D836" i="1"/>
  <c r="C835" i="1"/>
  <c r="C834" i="1"/>
  <c r="D834" i="1"/>
  <c r="C832" i="1"/>
  <c r="D832" i="1"/>
  <c r="C829" i="1"/>
  <c r="C796" i="1"/>
  <c r="C795" i="1"/>
  <c r="C794" i="1"/>
  <c r="C793" i="1"/>
  <c r="C779" i="1"/>
  <c r="C778" i="1"/>
  <c r="C772" i="1"/>
  <c r="D772" i="1"/>
  <c r="C770" i="1"/>
  <c r="C768" i="1"/>
  <c r="C767" i="1"/>
  <c r="C765" i="1"/>
  <c r="C717" i="1"/>
  <c r="C710" i="1"/>
  <c r="C708" i="1"/>
  <c r="D708" i="1"/>
  <c r="C707" i="1"/>
  <c r="C706" i="1"/>
  <c r="D706" i="1"/>
  <c r="C704" i="1"/>
  <c r="C703" i="1"/>
  <c r="D703" i="1"/>
  <c r="C697" i="1"/>
  <c r="C696" i="1"/>
  <c r="C691" i="1"/>
  <c r="C685" i="1"/>
  <c r="C646" i="1"/>
  <c r="C645" i="1"/>
  <c r="C555" i="1"/>
  <c r="C554" i="1"/>
  <c r="C552" i="1"/>
  <c r="C548" i="1"/>
  <c r="C547" i="1"/>
  <c r="C541" i="1"/>
  <c r="C509" i="1"/>
  <c r="C508" i="1"/>
  <c r="C507" i="1"/>
  <c r="C494" i="1"/>
  <c r="C493" i="1"/>
  <c r="C492" i="1"/>
  <c r="C486" i="1"/>
  <c r="C485" i="1"/>
  <c r="D485" i="1"/>
  <c r="C484" i="1"/>
  <c r="C444" i="1"/>
  <c r="C443" i="1"/>
  <c r="C422" i="1"/>
  <c r="C421" i="1"/>
  <c r="C419" i="1"/>
  <c r="D419" i="1"/>
  <c r="C418" i="1"/>
  <c r="C382" i="1"/>
  <c r="C381" i="1"/>
  <c r="C380" i="1"/>
  <c r="C356" i="1"/>
  <c r="C355" i="1"/>
  <c r="C352" i="1"/>
  <c r="D352" i="1"/>
  <c r="C287" i="1"/>
  <c r="C286" i="1"/>
  <c r="C285" i="1"/>
  <c r="D285" i="1"/>
  <c r="C283" i="1"/>
  <c r="C282" i="1"/>
  <c r="D1255" i="1"/>
  <c r="D1254" i="1"/>
  <c r="D1234" i="1"/>
  <c r="D1233" i="1"/>
  <c r="D1232" i="1"/>
  <c r="D1226" i="1"/>
  <c r="D1225" i="1"/>
  <c r="D1224" i="1"/>
  <c r="D1223" i="1"/>
  <c r="D1222" i="1"/>
  <c r="D1221" i="1"/>
  <c r="D1220" i="1"/>
  <c r="D1218" i="1"/>
  <c r="D1217" i="1"/>
  <c r="D1216" i="1"/>
  <c r="D1215" i="1"/>
  <c r="D1214" i="1"/>
  <c r="D1213" i="1"/>
  <c r="D1206" i="1"/>
  <c r="D1205" i="1"/>
  <c r="D1204" i="1"/>
  <c r="D1200" i="1"/>
  <c r="E1200" i="1"/>
  <c r="D1176" i="1"/>
  <c r="D1175" i="1"/>
  <c r="D1174" i="1"/>
  <c r="D1160" i="1"/>
  <c r="D1159" i="1"/>
  <c r="D1154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24" i="1"/>
  <c r="D1123" i="1"/>
  <c r="D1104" i="1"/>
  <c r="D1103" i="1"/>
  <c r="D1102" i="1"/>
  <c r="D1090" i="1"/>
  <c r="D1089" i="1"/>
  <c r="D1084" i="1"/>
  <c r="D1081" i="1"/>
  <c r="D1080" i="1"/>
  <c r="D1079" i="1"/>
  <c r="D1063" i="1"/>
  <c r="E1063" i="1"/>
  <c r="D1056" i="1"/>
  <c r="D1042" i="1"/>
  <c r="D1041" i="1"/>
  <c r="D1040" i="1"/>
  <c r="D1027" i="1"/>
  <c r="D1026" i="1"/>
  <c r="D1021" i="1"/>
  <c r="D1020" i="1"/>
  <c r="D1018" i="1"/>
  <c r="D1017" i="1"/>
  <c r="D1016" i="1"/>
  <c r="D1015" i="1"/>
  <c r="D1013" i="1"/>
  <c r="D1012" i="1"/>
  <c r="D1005" i="1"/>
  <c r="D1001" i="1"/>
  <c r="D1000" i="1"/>
  <c r="D996" i="1"/>
  <c r="D982" i="1"/>
  <c r="D980" i="1"/>
  <c r="D965" i="1"/>
  <c r="D964" i="1"/>
  <c r="D956" i="1"/>
  <c r="D954" i="1"/>
  <c r="D941" i="1"/>
  <c r="D927" i="1"/>
  <c r="D926" i="1"/>
  <c r="D912" i="1"/>
  <c r="D911" i="1"/>
  <c r="D906" i="1"/>
  <c r="D905" i="1"/>
  <c r="D904" i="1"/>
  <c r="D903" i="1"/>
  <c r="D902" i="1"/>
  <c r="D901" i="1"/>
  <c r="D899" i="1"/>
  <c r="D898" i="1"/>
  <c r="D897" i="1"/>
  <c r="D896" i="1"/>
  <c r="D889" i="1"/>
  <c r="D888" i="1"/>
  <c r="D887" i="1"/>
  <c r="D886" i="1"/>
  <c r="D866" i="1"/>
  <c r="D846" i="1"/>
  <c r="D845" i="1"/>
  <c r="D844" i="1"/>
  <c r="D839" i="1"/>
  <c r="D838" i="1"/>
  <c r="D837" i="1"/>
  <c r="D835" i="1"/>
  <c r="D833" i="1"/>
  <c r="D831" i="1"/>
  <c r="D830" i="1"/>
  <c r="D829" i="1"/>
  <c r="D828" i="1"/>
  <c r="D827" i="1"/>
  <c r="D820" i="1"/>
  <c r="D818" i="1"/>
  <c r="D817" i="1"/>
  <c r="D814" i="1"/>
  <c r="D812" i="1"/>
  <c r="D773" i="1"/>
  <c r="D771" i="1"/>
  <c r="D770" i="1"/>
  <c r="D769" i="1"/>
  <c r="D768" i="1"/>
  <c r="D767" i="1"/>
  <c r="D766" i="1"/>
  <c r="D765" i="1"/>
  <c r="D756" i="1"/>
  <c r="D735" i="1"/>
  <c r="D734" i="1"/>
  <c r="D733" i="1"/>
  <c r="D719" i="1"/>
  <c r="D717" i="1"/>
  <c r="E717" i="1"/>
  <c r="D716" i="1"/>
  <c r="D715" i="1"/>
  <c r="D710" i="1"/>
  <c r="D709" i="1"/>
  <c r="D707" i="1"/>
  <c r="D705" i="1"/>
  <c r="D704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72" i="1"/>
  <c r="D682" i="1"/>
  <c r="D681" i="1"/>
  <c r="D680" i="1"/>
  <c r="D679" i="1"/>
  <c r="D678" i="1"/>
  <c r="D677" i="1"/>
  <c r="D676" i="1"/>
  <c r="D675" i="1"/>
  <c r="D667" i="1"/>
  <c r="D665" i="1"/>
  <c r="D563" i="1"/>
  <c r="D562" i="1"/>
  <c r="D561" i="1"/>
  <c r="D556" i="1"/>
  <c r="D555" i="1"/>
  <c r="D554" i="1"/>
  <c r="D553" i="1"/>
  <c r="D552" i="1"/>
  <c r="D551" i="1"/>
  <c r="D550" i="1"/>
  <c r="D549" i="1"/>
  <c r="D548" i="1"/>
  <c r="D547" i="1"/>
  <c r="D546" i="1"/>
  <c r="D544" i="1"/>
  <c r="D543" i="1"/>
  <c r="D542" i="1"/>
  <c r="D541" i="1"/>
  <c r="D540" i="1"/>
  <c r="D534" i="1"/>
  <c r="D529" i="1"/>
  <c r="D528" i="1"/>
  <c r="D527" i="1"/>
  <c r="D507" i="1"/>
  <c r="D487" i="1"/>
  <c r="D486" i="1"/>
  <c r="D484" i="1"/>
  <c r="D479" i="1"/>
  <c r="D478" i="1"/>
  <c r="D477" i="1"/>
  <c r="D476" i="1"/>
  <c r="D475" i="1"/>
  <c r="D474" i="1"/>
  <c r="D465" i="1"/>
  <c r="D464" i="1"/>
  <c r="D459" i="1"/>
  <c r="D444" i="1"/>
  <c r="D443" i="1"/>
  <c r="D442" i="1"/>
  <c r="D429" i="1"/>
  <c r="D428" i="1"/>
  <c r="D423" i="1"/>
  <c r="D422" i="1"/>
  <c r="D421" i="1"/>
  <c r="D420" i="1"/>
  <c r="D418" i="1"/>
  <c r="D414" i="1"/>
  <c r="D413" i="1"/>
  <c r="D412" i="1"/>
  <c r="D411" i="1"/>
  <c r="D410" i="1"/>
  <c r="D409" i="1"/>
  <c r="D400" i="1"/>
  <c r="D367" i="1"/>
  <c r="D366" i="1"/>
  <c r="D361" i="1"/>
  <c r="D360" i="1"/>
  <c r="D359" i="1"/>
  <c r="D358" i="1"/>
  <c r="D357" i="1"/>
  <c r="D356" i="1"/>
  <c r="D355" i="1"/>
  <c r="D354" i="1"/>
  <c r="D353" i="1"/>
  <c r="D351" i="1"/>
  <c r="D350" i="1"/>
  <c r="D345" i="1"/>
  <c r="D344" i="1"/>
  <c r="D343" i="1"/>
  <c r="D342" i="1"/>
  <c r="D341" i="1"/>
  <c r="D340" i="1"/>
  <c r="D339" i="1"/>
  <c r="D338" i="1"/>
  <c r="D337" i="1"/>
  <c r="D330" i="1"/>
  <c r="D329" i="1"/>
  <c r="D328" i="1"/>
  <c r="D294" i="1"/>
  <c r="D293" i="1"/>
  <c r="D288" i="1"/>
  <c r="D287" i="1"/>
  <c r="D286" i="1"/>
  <c r="D284" i="1"/>
  <c r="D281" i="1"/>
  <c r="D282" i="1"/>
  <c r="D277" i="1"/>
  <c r="D276" i="1"/>
  <c r="D275" i="1"/>
  <c r="D274" i="1"/>
  <c r="D273" i="1"/>
  <c r="D272" i="1"/>
  <c r="K234" i="11"/>
  <c r="E239" i="11"/>
  <c r="C1059" i="1"/>
  <c r="D1059" i="1"/>
  <c r="C815" i="1"/>
  <c r="D815" i="1"/>
  <c r="C398" i="1"/>
  <c r="D398" i="1"/>
  <c r="C395" i="1"/>
  <c r="H263" i="11"/>
  <c r="N263" i="11"/>
  <c r="M263" i="11"/>
  <c r="H55" i="11"/>
  <c r="N55" i="11"/>
  <c r="M55" i="11"/>
  <c r="H54" i="11"/>
  <c r="N54" i="11"/>
  <c r="M54" i="11"/>
  <c r="H257" i="11"/>
  <c r="F257" i="11"/>
  <c r="N257" i="11"/>
  <c r="M257" i="11"/>
  <c r="N18" i="11"/>
  <c r="M18" i="11"/>
  <c r="K294" i="11"/>
  <c r="K292" i="11"/>
  <c r="K291" i="11"/>
  <c r="K268" i="11"/>
  <c r="K264" i="11"/>
  <c r="K256" i="11"/>
  <c r="K255" i="11"/>
  <c r="K254" i="11"/>
  <c r="K253" i="11"/>
  <c r="K194" i="11"/>
  <c r="K195" i="11"/>
  <c r="K197" i="11"/>
  <c r="G257" i="11"/>
  <c r="E257" i="11"/>
  <c r="G263" i="11"/>
  <c r="E263" i="11"/>
  <c r="G55" i="11"/>
  <c r="E55" i="11"/>
  <c r="G54" i="11"/>
  <c r="E54" i="11"/>
  <c r="G18" i="11"/>
  <c r="E18" i="11"/>
  <c r="K224" i="11"/>
  <c r="K223" i="11"/>
  <c r="K222" i="11"/>
  <c r="K174" i="11"/>
  <c r="K173" i="11"/>
  <c r="K172" i="11"/>
  <c r="K171" i="11"/>
  <c r="K170" i="11"/>
  <c r="K169" i="11"/>
  <c r="B104" i="1"/>
  <c r="E665" i="1"/>
  <c r="B602" i="1"/>
  <c r="E465" i="1"/>
  <c r="I22" i="36"/>
  <c r="E176" i="11"/>
  <c r="E175" i="11"/>
  <c r="B127" i="1"/>
  <c r="C127" i="1"/>
  <c r="E700" i="1"/>
  <c r="D127" i="1"/>
  <c r="D57" i="1"/>
  <c r="C57" i="1"/>
  <c r="B57" i="1"/>
  <c r="D778" i="1"/>
  <c r="H272" i="11"/>
  <c r="N272" i="11"/>
  <c r="E270" i="11"/>
  <c r="E269" i="11"/>
  <c r="B140" i="1"/>
  <c r="C140" i="1"/>
  <c r="I21" i="36"/>
  <c r="I19" i="36"/>
  <c r="I20" i="36"/>
  <c r="E354" i="1"/>
  <c r="I41" i="36"/>
  <c r="I50" i="36"/>
  <c r="K122" i="11"/>
  <c r="N122" i="11"/>
  <c r="M122" i="11"/>
  <c r="I65" i="36"/>
  <c r="I42" i="36"/>
  <c r="I58" i="36"/>
  <c r="B237" i="1"/>
  <c r="D176" i="1"/>
  <c r="B94" i="1"/>
  <c r="C94" i="1"/>
  <c r="D94" i="1"/>
  <c r="D779" i="1"/>
  <c r="E702" i="1"/>
  <c r="E105" i="1"/>
  <c r="E551" i="1"/>
  <c r="E550" i="1"/>
  <c r="E549" i="1"/>
  <c r="D140" i="1"/>
  <c r="E359" i="1"/>
  <c r="C217" i="1"/>
  <c r="B217" i="1"/>
  <c r="C602" i="1"/>
  <c r="C1070" i="1"/>
  <c r="D1070" i="1"/>
  <c r="F293" i="11"/>
  <c r="F300" i="11"/>
  <c r="F266" i="11"/>
  <c r="G124" i="11"/>
  <c r="E1188" i="1"/>
  <c r="D1188" i="1"/>
  <c r="C1188" i="1"/>
  <c r="B1188" i="1"/>
  <c r="E1111" i="1"/>
  <c r="D1111" i="1"/>
  <c r="C1111" i="1"/>
  <c r="B1111" i="1"/>
  <c r="E1048" i="1"/>
  <c r="D1048" i="1"/>
  <c r="C1048" i="1"/>
  <c r="B1048" i="1"/>
  <c r="E988" i="1"/>
  <c r="E934" i="1"/>
  <c r="D934" i="1"/>
  <c r="C934" i="1"/>
  <c r="B934" i="1"/>
  <c r="E872" i="1"/>
  <c r="E801" i="1"/>
  <c r="E741" i="1"/>
  <c r="E652" i="1"/>
  <c r="E515" i="1"/>
  <c r="E451" i="1"/>
  <c r="E387" i="1"/>
  <c r="D387" i="1"/>
  <c r="C387" i="1"/>
  <c r="B387" i="1"/>
  <c r="E315" i="1"/>
  <c r="G122" i="11"/>
  <c r="E122" i="11"/>
  <c r="M272" i="11"/>
  <c r="G272" i="11"/>
  <c r="D105" i="1"/>
  <c r="N289" i="11"/>
  <c r="K289" i="11"/>
  <c r="H289" i="11"/>
  <c r="G289" i="11"/>
  <c r="K120" i="11"/>
  <c r="H120" i="11"/>
  <c r="G120" i="11"/>
  <c r="N120" i="11"/>
  <c r="E272" i="11"/>
  <c r="E289" i="11"/>
  <c r="M120" i="11"/>
  <c r="E120" i="11"/>
  <c r="K112" i="11"/>
  <c r="H112" i="11"/>
  <c r="G112" i="11"/>
  <c r="I69" i="36"/>
  <c r="N112" i="11"/>
  <c r="M112" i="11"/>
  <c r="E112" i="11"/>
  <c r="B135" i="1"/>
  <c r="E343" i="1"/>
  <c r="E340" i="1"/>
  <c r="E342" i="1"/>
  <c r="E542" i="1"/>
  <c r="E956" i="1"/>
  <c r="E57" i="1"/>
  <c r="E544" i="1"/>
  <c r="E1141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72" i="1"/>
  <c r="E682" i="1"/>
  <c r="E681" i="1"/>
  <c r="B56" i="1"/>
  <c r="C56" i="1"/>
  <c r="O135" i="11"/>
  <c r="E133" i="11"/>
  <c r="C660" i="1"/>
  <c r="D660" i="1"/>
  <c r="O153" i="11"/>
  <c r="E151" i="11"/>
  <c r="C749" i="1"/>
  <c r="D749" i="1"/>
  <c r="O184" i="11"/>
  <c r="E181" i="11"/>
  <c r="C809" i="1"/>
  <c r="D809" i="1"/>
  <c r="O201" i="11"/>
  <c r="E199" i="11"/>
  <c r="C880" i="1"/>
  <c r="D880" i="1"/>
  <c r="E298" i="11"/>
  <c r="C1196" i="1"/>
  <c r="D1196" i="1"/>
  <c r="O99" i="11"/>
  <c r="E97" i="11"/>
  <c r="C523" i="1"/>
  <c r="D523" i="1"/>
  <c r="E1142" i="1"/>
  <c r="B1122" i="1"/>
  <c r="D281" i="11"/>
  <c r="E276" i="11"/>
  <c r="C1119" i="1"/>
  <c r="D1119" i="1"/>
  <c r="H275" i="11"/>
  <c r="N275" i="11"/>
  <c r="P280" i="11"/>
  <c r="O280" i="11"/>
  <c r="L280" i="11"/>
  <c r="C1129" i="1"/>
  <c r="D1129" i="1"/>
  <c r="J280" i="11"/>
  <c r="C1127" i="1"/>
  <c r="D1127" i="1"/>
  <c r="H256" i="11"/>
  <c r="G256" i="11"/>
  <c r="H255" i="11"/>
  <c r="G255" i="11"/>
  <c r="H254" i="11"/>
  <c r="N254" i="11"/>
  <c r="H253" i="11"/>
  <c r="N253" i="11"/>
  <c r="M253" i="11"/>
  <c r="H252" i="11"/>
  <c r="G252" i="11"/>
  <c r="H251" i="11"/>
  <c r="G251" i="11"/>
  <c r="H250" i="11"/>
  <c r="G250" i="11"/>
  <c r="H249" i="11"/>
  <c r="G249" i="11"/>
  <c r="N248" i="11"/>
  <c r="M248" i="11"/>
  <c r="I247" i="11"/>
  <c r="G247" i="11"/>
  <c r="K84" i="11"/>
  <c r="H84" i="11"/>
  <c r="N84" i="11"/>
  <c r="K83" i="11"/>
  <c r="H83" i="11"/>
  <c r="N83" i="11"/>
  <c r="D38" i="11"/>
  <c r="H262" i="11"/>
  <c r="G262" i="11"/>
  <c r="H34" i="11"/>
  <c r="N34" i="11"/>
  <c r="M34" i="11"/>
  <c r="K147" i="11"/>
  <c r="N147" i="11"/>
  <c r="K115" i="11"/>
  <c r="H115" i="11"/>
  <c r="N115" i="11"/>
  <c r="K118" i="11"/>
  <c r="H118" i="11"/>
  <c r="N118" i="11"/>
  <c r="H106" i="11"/>
  <c r="G106" i="11"/>
  <c r="C104" i="1"/>
  <c r="D104" i="1"/>
  <c r="I16" i="36"/>
  <c r="E556" i="1"/>
  <c r="K290" i="11"/>
  <c r="I17" i="36"/>
  <c r="K80" i="11"/>
  <c r="H80" i="11"/>
  <c r="G80" i="11"/>
  <c r="C86" i="1"/>
  <c r="B86" i="1"/>
  <c r="E903" i="1"/>
  <c r="E94" i="1"/>
  <c r="M254" i="11"/>
  <c r="M118" i="11"/>
  <c r="G83" i="11"/>
  <c r="M84" i="11"/>
  <c r="G254" i="11"/>
  <c r="E254" i="11"/>
  <c r="G248" i="11"/>
  <c r="E248" i="11"/>
  <c r="M83" i="11"/>
  <c r="G84" i="11"/>
  <c r="G275" i="11"/>
  <c r="M275" i="11"/>
  <c r="N249" i="11"/>
  <c r="M249" i="11"/>
  <c r="N250" i="11"/>
  <c r="M250" i="11"/>
  <c r="N251" i="11"/>
  <c r="M251" i="11"/>
  <c r="N252" i="11"/>
  <c r="M252" i="11"/>
  <c r="E252" i="11"/>
  <c r="N255" i="11"/>
  <c r="M255" i="11"/>
  <c r="N256" i="11"/>
  <c r="M256" i="11"/>
  <c r="E249" i="11"/>
  <c r="E250" i="11"/>
  <c r="E251" i="11"/>
  <c r="G253" i="11"/>
  <c r="E253" i="11"/>
  <c r="E255" i="11"/>
  <c r="E256" i="11"/>
  <c r="N247" i="11"/>
  <c r="E247" i="11"/>
  <c r="G115" i="11"/>
  <c r="G34" i="11"/>
  <c r="E34" i="11"/>
  <c r="N262" i="11"/>
  <c r="M262" i="11"/>
  <c r="E262" i="11"/>
  <c r="M147" i="11"/>
  <c r="G118" i="11"/>
  <c r="M115" i="11"/>
  <c r="G147" i="11"/>
  <c r="N106" i="11"/>
  <c r="M106" i="11"/>
  <c r="E106" i="11"/>
  <c r="E104" i="1"/>
  <c r="N80" i="11"/>
  <c r="M80" i="11"/>
  <c r="E80" i="11"/>
  <c r="E1223" i="1"/>
  <c r="E1136" i="1"/>
  <c r="E1084" i="1"/>
  <c r="E1016" i="1"/>
  <c r="E898" i="1"/>
  <c r="E814" i="1"/>
  <c r="E701" i="1"/>
  <c r="E695" i="1"/>
  <c r="E590" i="1"/>
  <c r="D56" i="1"/>
  <c r="E147" i="11"/>
  <c r="E118" i="11"/>
  <c r="E115" i="11"/>
  <c r="E83" i="11"/>
  <c r="E84" i="11"/>
  <c r="E275" i="11"/>
  <c r="E423" i="1"/>
  <c r="C135" i="1"/>
  <c r="E838" i="1"/>
  <c r="E135" i="1"/>
  <c r="I33" i="36"/>
  <c r="I57" i="36"/>
  <c r="C197" i="1"/>
  <c r="B197" i="1"/>
  <c r="D135" i="1"/>
  <c r="D612" i="1"/>
  <c r="B105" i="1"/>
  <c r="B54" i="1"/>
  <c r="E197" i="1"/>
  <c r="D197" i="1"/>
  <c r="E93" i="1"/>
  <c r="D93" i="1"/>
  <c r="C93" i="1"/>
  <c r="B93" i="1"/>
  <c r="E900" i="1"/>
  <c r="E899" i="1"/>
  <c r="B711" i="1"/>
  <c r="E709" i="1"/>
  <c r="B207" i="1"/>
  <c r="C204" i="1"/>
  <c r="B204" i="1"/>
  <c r="E189" i="1"/>
  <c r="D189" i="1"/>
  <c r="C189" i="1"/>
  <c r="B189" i="1"/>
  <c r="E361" i="1"/>
  <c r="E140" i="1"/>
  <c r="E358" i="1"/>
  <c r="E357" i="1"/>
  <c r="E356" i="1"/>
  <c r="E355" i="1"/>
  <c r="E353" i="1"/>
  <c r="E352" i="1"/>
  <c r="E351" i="1"/>
  <c r="E299" i="11"/>
  <c r="C1199" i="1"/>
  <c r="D1199" i="1"/>
  <c r="E297" i="11"/>
  <c r="L227" i="11"/>
  <c r="C1006" i="1"/>
  <c r="D1006" i="1"/>
  <c r="J227" i="11"/>
  <c r="C1004" i="1"/>
  <c r="D1004" i="1"/>
  <c r="L240" i="11"/>
  <c r="C1064" i="1"/>
  <c r="D1064" i="1"/>
  <c r="J240" i="11"/>
  <c r="C1062" i="1"/>
  <c r="D1062" i="1"/>
  <c r="F280" i="11"/>
  <c r="C1117" i="1"/>
  <c r="D1117" i="1"/>
  <c r="F240" i="11"/>
  <c r="C1054" i="1"/>
  <c r="D1054" i="1"/>
  <c r="D188" i="1"/>
  <c r="E591" i="1"/>
  <c r="E190" i="1"/>
  <c r="D190" i="1"/>
  <c r="E589" i="1"/>
  <c r="E188" i="1"/>
  <c r="I51" i="36"/>
  <c r="E553" i="1"/>
  <c r="H261" i="11"/>
  <c r="N261" i="11"/>
  <c r="H260" i="11"/>
  <c r="G260" i="11"/>
  <c r="N260" i="11"/>
  <c r="K209" i="11"/>
  <c r="H209" i="11"/>
  <c r="N209" i="11"/>
  <c r="H69" i="11"/>
  <c r="N69" i="11"/>
  <c r="M69" i="11"/>
  <c r="N144" i="11"/>
  <c r="N232" i="11"/>
  <c r="K29" i="11"/>
  <c r="H29" i="11"/>
  <c r="N29" i="11"/>
  <c r="K28" i="11"/>
  <c r="N28" i="11"/>
  <c r="N233" i="11"/>
  <c r="I121" i="11"/>
  <c r="H121" i="11"/>
  <c r="N121" i="11"/>
  <c r="M121" i="11"/>
  <c r="K129" i="11"/>
  <c r="H129" i="11"/>
  <c r="N129" i="11"/>
  <c r="N219" i="11"/>
  <c r="M260" i="11"/>
  <c r="E260" i="11"/>
  <c r="M261" i="11"/>
  <c r="M209" i="11"/>
  <c r="G261" i="11"/>
  <c r="G209" i="11"/>
  <c r="G69" i="11"/>
  <c r="E69" i="11"/>
  <c r="M232" i="11"/>
  <c r="M144" i="11"/>
  <c r="G144" i="11"/>
  <c r="G232" i="11"/>
  <c r="M233" i="11"/>
  <c r="M28" i="11"/>
  <c r="M29" i="11"/>
  <c r="G29" i="11"/>
  <c r="G28" i="11"/>
  <c r="G233" i="11"/>
  <c r="G121" i="11"/>
  <c r="E121" i="11"/>
  <c r="M219" i="11"/>
  <c r="M129" i="11"/>
  <c r="G129" i="11"/>
  <c r="G219" i="11"/>
  <c r="B71" i="1"/>
  <c r="E261" i="11"/>
  <c r="E233" i="11"/>
  <c r="E29" i="11"/>
  <c r="E28" i="11"/>
  <c r="E209" i="11"/>
  <c r="E232" i="11"/>
  <c r="E144" i="11"/>
  <c r="E219" i="11"/>
  <c r="E129" i="11"/>
  <c r="E54" i="1"/>
  <c r="D54" i="1"/>
  <c r="E234" i="1"/>
  <c r="D234" i="1"/>
  <c r="I14" i="36"/>
  <c r="C105" i="1"/>
  <c r="C54" i="1"/>
  <c r="C120" i="1"/>
  <c r="I26" i="36"/>
  <c r="I13" i="36"/>
  <c r="D35" i="36"/>
  <c r="E237" i="1"/>
  <c r="D237" i="1"/>
  <c r="I40" i="36"/>
  <c r="E176" i="1"/>
  <c r="B206" i="1"/>
  <c r="C237" i="1"/>
  <c r="B797" i="1"/>
  <c r="B786" i="1"/>
  <c r="B1092" i="1"/>
  <c r="C289" i="1"/>
  <c r="B608" i="1"/>
  <c r="C608" i="1"/>
  <c r="D608" i="1"/>
  <c r="E608" i="1"/>
  <c r="E233" i="1"/>
  <c r="D233" i="1"/>
  <c r="B36" i="1"/>
  <c r="B640" i="1"/>
  <c r="B17" i="1"/>
  <c r="B18" i="1"/>
  <c r="B19" i="1"/>
  <c r="B21" i="1"/>
  <c r="B23" i="1"/>
  <c r="B24" i="1"/>
  <c r="B25" i="1"/>
  <c r="B27" i="1"/>
  <c r="B28" i="1"/>
  <c r="B34" i="1"/>
  <c r="B35" i="1"/>
  <c r="B37" i="1"/>
  <c r="B38" i="1"/>
  <c r="B39" i="1"/>
  <c r="B40" i="1"/>
  <c r="B41" i="1"/>
  <c r="B42" i="1"/>
  <c r="B43" i="1"/>
  <c r="B49" i="1"/>
  <c r="B50" i="1"/>
  <c r="B51" i="1"/>
  <c r="B52" i="1"/>
  <c r="B53" i="1"/>
  <c r="B55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7" i="1"/>
  <c r="B88" i="1"/>
  <c r="B89" i="1"/>
  <c r="B90" i="1"/>
  <c r="B91" i="1"/>
  <c r="B92" i="1"/>
  <c r="B95" i="1"/>
  <c r="B96" i="1"/>
  <c r="B97" i="1"/>
  <c r="B98" i="1"/>
  <c r="B99" i="1"/>
  <c r="B100" i="1"/>
  <c r="B101" i="1"/>
  <c r="B102" i="1"/>
  <c r="B103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3" i="1"/>
  <c r="B154" i="1"/>
  <c r="B155" i="1"/>
  <c r="B156" i="1"/>
  <c r="B161" i="1"/>
  <c r="B162" i="1"/>
  <c r="B163" i="1"/>
  <c r="B165" i="1"/>
  <c r="B174" i="1"/>
  <c r="B175" i="1"/>
  <c r="B176" i="1"/>
  <c r="B177" i="1"/>
  <c r="B187" i="1"/>
  <c r="B188" i="1"/>
  <c r="B190" i="1"/>
  <c r="B196" i="1"/>
  <c r="B198" i="1"/>
  <c r="B202" i="1"/>
  <c r="B203" i="1"/>
  <c r="B205" i="1"/>
  <c r="B208" i="1"/>
  <c r="B213" i="1"/>
  <c r="B214" i="1"/>
  <c r="B215" i="1"/>
  <c r="B216" i="1"/>
  <c r="B222" i="1"/>
  <c r="B224" i="1"/>
  <c r="B232" i="1"/>
  <c r="B233" i="1"/>
  <c r="B234" i="1"/>
  <c r="B235" i="1"/>
  <c r="B242" i="1"/>
  <c r="B243" i="1"/>
  <c r="B244" i="1"/>
  <c r="B245" i="1"/>
  <c r="B249" i="1"/>
  <c r="B250" i="1"/>
  <c r="B278" i="1"/>
  <c r="B289" i="1"/>
  <c r="B296" i="1"/>
  <c r="B311" i="1"/>
  <c r="B300" i="1"/>
  <c r="B314" i="1"/>
  <c r="B315" i="1"/>
  <c r="B346" i="1"/>
  <c r="B362" i="1"/>
  <c r="B369" i="1"/>
  <c r="B384" i="1"/>
  <c r="B373" i="1"/>
  <c r="B415" i="1"/>
  <c r="B424" i="1"/>
  <c r="B431" i="1"/>
  <c r="B446" i="1"/>
  <c r="B435" i="1"/>
  <c r="B450" i="1"/>
  <c r="B451" i="1"/>
  <c r="B480" i="1"/>
  <c r="B488" i="1"/>
  <c r="B496" i="1"/>
  <c r="B511" i="1"/>
  <c r="B500" i="1"/>
  <c r="B514" i="1"/>
  <c r="B515" i="1"/>
  <c r="B557" i="1"/>
  <c r="B565" i="1"/>
  <c r="B579" i="1"/>
  <c r="B1269" i="1"/>
  <c r="B593" i="1"/>
  <c r="B614" i="1"/>
  <c r="B626" i="1"/>
  <c r="B648" i="1"/>
  <c r="B570" i="1"/>
  <c r="B651" i="1"/>
  <c r="B652" i="1"/>
  <c r="B721" i="1"/>
  <c r="B737" i="1"/>
  <c r="B726" i="1"/>
  <c r="B740" i="1"/>
  <c r="B741" i="1"/>
  <c r="B774" i="1"/>
  <c r="B781" i="1"/>
  <c r="B800" i="1"/>
  <c r="B801" i="1"/>
  <c r="B840" i="1"/>
  <c r="B848" i="1"/>
  <c r="B862" i="1"/>
  <c r="B869" i="1"/>
  <c r="B853" i="1"/>
  <c r="B871" i="1"/>
  <c r="B872" i="1"/>
  <c r="B907" i="1"/>
  <c r="B914" i="1"/>
  <c r="B930" i="1"/>
  <c r="B919" i="1"/>
  <c r="B960" i="1"/>
  <c r="B967" i="1"/>
  <c r="B984" i="1"/>
  <c r="B973" i="1"/>
  <c r="B988" i="1"/>
  <c r="B1022" i="1"/>
  <c r="B1029" i="1"/>
  <c r="B1044" i="1"/>
  <c r="B1034" i="1"/>
  <c r="B1076" i="1"/>
  <c r="B1085" i="1"/>
  <c r="B1107" i="1"/>
  <c r="B1096" i="1"/>
  <c r="B1155" i="1"/>
  <c r="B1163" i="1"/>
  <c r="B1178" i="1"/>
  <c r="B1168" i="1"/>
  <c r="B1228" i="1"/>
  <c r="B1236" i="1"/>
  <c r="B1250" i="1"/>
  <c r="B1258" i="1"/>
  <c r="B1241" i="1"/>
  <c r="C36" i="1"/>
  <c r="E1222" i="1"/>
  <c r="E886" i="1"/>
  <c r="C119" i="1"/>
  <c r="E957" i="1"/>
  <c r="E119" i="1"/>
  <c r="E36" i="1"/>
  <c r="E206" i="1"/>
  <c r="D206" i="1"/>
  <c r="C206" i="1"/>
  <c r="G123" i="11"/>
  <c r="K75" i="11"/>
  <c r="H68" i="11"/>
  <c r="G68" i="11"/>
  <c r="H221" i="11"/>
  <c r="N221" i="11"/>
  <c r="M221" i="11"/>
  <c r="G220" i="11"/>
  <c r="G222" i="11"/>
  <c r="H222" i="11"/>
  <c r="G223" i="11"/>
  <c r="H223" i="11"/>
  <c r="N218" i="11"/>
  <c r="K164" i="11"/>
  <c r="H164" i="11"/>
  <c r="N164" i="11"/>
  <c r="K67" i="36"/>
  <c r="K123" i="11"/>
  <c r="H123" i="11"/>
  <c r="H75" i="11"/>
  <c r="N75" i="11"/>
  <c r="C232" i="1"/>
  <c r="C640" i="1"/>
  <c r="C106" i="1"/>
  <c r="D203" i="1"/>
  <c r="G35" i="36"/>
  <c r="C150" i="1"/>
  <c r="E1219" i="1"/>
  <c r="C122" i="1"/>
  <c r="D102" i="1"/>
  <c r="C102" i="1"/>
  <c r="E1218" i="1"/>
  <c r="E1217" i="1"/>
  <c r="E1216" i="1"/>
  <c r="C53" i="1"/>
  <c r="C64" i="1"/>
  <c r="C143" i="1"/>
  <c r="E1151" i="1"/>
  <c r="C68" i="1"/>
  <c r="C85" i="1"/>
  <c r="D97" i="1"/>
  <c r="C97" i="1"/>
  <c r="E97" i="1"/>
  <c r="D80" i="1"/>
  <c r="C80" i="1"/>
  <c r="E80" i="1"/>
  <c r="D124" i="1"/>
  <c r="C124" i="1"/>
  <c r="E904" i="1"/>
  <c r="E124" i="1"/>
  <c r="E897" i="1"/>
  <c r="E73" i="1"/>
  <c r="D73" i="1"/>
  <c r="C73" i="1"/>
  <c r="C70" i="1"/>
  <c r="D96" i="1"/>
  <c r="C96" i="1"/>
  <c r="E96" i="1"/>
  <c r="C117" i="1"/>
  <c r="E117" i="1"/>
  <c r="C78" i="1"/>
  <c r="C71" i="1"/>
  <c r="E277" i="11"/>
  <c r="C1122" i="1"/>
  <c r="D1122" i="1"/>
  <c r="E238" i="11"/>
  <c r="E237" i="11"/>
  <c r="E236" i="11"/>
  <c r="B238" i="1"/>
  <c r="B218" i="1"/>
  <c r="B1270" i="1"/>
  <c r="B1267" i="1"/>
  <c r="B1268" i="1"/>
  <c r="B1266" i="1"/>
  <c r="M75" i="11"/>
  <c r="F227" i="11"/>
  <c r="C994" i="1"/>
  <c r="D994" i="1"/>
  <c r="B628" i="1"/>
  <c r="E238" i="1"/>
  <c r="D238" i="1"/>
  <c r="E546" i="1"/>
  <c r="E71" i="1"/>
  <c r="D71" i="1"/>
  <c r="B192" i="1"/>
  <c r="B210" i="1"/>
  <c r="B157" i="1"/>
  <c r="B1278" i="1"/>
  <c r="B246" i="1"/>
  <c r="B170" i="1"/>
  <c r="B178" i="1"/>
  <c r="B1280" i="1"/>
  <c r="B166" i="1"/>
  <c r="B1279" i="1"/>
  <c r="B45" i="1"/>
  <c r="B1277" i="1"/>
  <c r="D119" i="1"/>
  <c r="D36" i="1"/>
  <c r="D53" i="1"/>
  <c r="N68" i="11"/>
  <c r="M68" i="11"/>
  <c r="E68" i="11"/>
  <c r="N222" i="11"/>
  <c r="M222" i="11"/>
  <c r="E222" i="11"/>
  <c r="G221" i="11"/>
  <c r="E221" i="11"/>
  <c r="N220" i="11"/>
  <c r="M220" i="11"/>
  <c r="E220" i="11"/>
  <c r="G164" i="11"/>
  <c r="M218" i="11"/>
  <c r="N223" i="11"/>
  <c r="M223" i="11"/>
  <c r="E223" i="11"/>
  <c r="G218" i="11"/>
  <c r="M164" i="11"/>
  <c r="G75" i="11"/>
  <c r="E75" i="11"/>
  <c r="N123" i="11"/>
  <c r="M123" i="11"/>
  <c r="E123" i="11"/>
  <c r="E203" i="1"/>
  <c r="E1139" i="1"/>
  <c r="E1014" i="1"/>
  <c r="E1013" i="1"/>
  <c r="E53" i="1"/>
  <c r="D117" i="1"/>
  <c r="E210" i="11"/>
  <c r="E279" i="11"/>
  <c r="E225" i="11"/>
  <c r="E198" i="11"/>
  <c r="E180" i="11"/>
  <c r="E150" i="11"/>
  <c r="E132" i="11"/>
  <c r="E96" i="11"/>
  <c r="E57" i="11"/>
  <c r="E43" i="11"/>
  <c r="E35" i="11"/>
  <c r="E20" i="11"/>
  <c r="H66" i="11"/>
  <c r="N66" i="11"/>
  <c r="N65" i="11"/>
  <c r="N51" i="11"/>
  <c r="H51" i="11"/>
  <c r="H50" i="11"/>
  <c r="G50" i="11"/>
  <c r="H42" i="11"/>
  <c r="N42" i="11"/>
  <c r="K196" i="11"/>
  <c r="H196" i="11"/>
  <c r="N196" i="11"/>
  <c r="K19" i="11"/>
  <c r="H19" i="11"/>
  <c r="N19" i="11"/>
  <c r="K266" i="11"/>
  <c r="K265" i="11"/>
  <c r="K208" i="11"/>
  <c r="K168" i="11"/>
  <c r="K166" i="11"/>
  <c r="K165" i="11"/>
  <c r="K110" i="11"/>
  <c r="N27" i="11"/>
  <c r="H27" i="11"/>
  <c r="N17" i="11"/>
  <c r="N264" i="11"/>
  <c r="K227" i="11"/>
  <c r="C1002" i="1"/>
  <c r="D1002" i="1"/>
  <c r="N224" i="11"/>
  <c r="G16" i="11"/>
  <c r="H293" i="11"/>
  <c r="H292" i="11"/>
  <c r="H291" i="11"/>
  <c r="H234" i="11"/>
  <c r="H268" i="11"/>
  <c r="H266" i="11"/>
  <c r="H265" i="11"/>
  <c r="H259" i="11"/>
  <c r="H258" i="11"/>
  <c r="H217" i="11"/>
  <c r="H208" i="11"/>
  <c r="H207" i="11"/>
  <c r="H197" i="11"/>
  <c r="H195" i="11"/>
  <c r="H194" i="11"/>
  <c r="H190" i="11"/>
  <c r="H179" i="11"/>
  <c r="H173" i="11"/>
  <c r="H172" i="11"/>
  <c r="H171" i="11"/>
  <c r="H170" i="11"/>
  <c r="H169" i="11"/>
  <c r="H167" i="11"/>
  <c r="H166" i="11"/>
  <c r="H163" i="11"/>
  <c r="H146" i="11"/>
  <c r="H145" i="11"/>
  <c r="H143" i="11"/>
  <c r="H131" i="11"/>
  <c r="H130" i="11"/>
  <c r="H127" i="11"/>
  <c r="H126" i="11"/>
  <c r="H125" i="11"/>
  <c r="H124" i="11"/>
  <c r="H114" i="11"/>
  <c r="H111" i="11"/>
  <c r="H109" i="11"/>
  <c r="H107" i="11"/>
  <c r="H296" i="11"/>
  <c r="H89" i="11"/>
  <c r="H235" i="11"/>
  <c r="H88" i="11"/>
  <c r="H87" i="11"/>
  <c r="H85" i="11"/>
  <c r="H79" i="11"/>
  <c r="H78" i="11"/>
  <c r="H295" i="11"/>
  <c r="H77" i="11"/>
  <c r="H74" i="11"/>
  <c r="H70" i="11"/>
  <c r="H67" i="11"/>
  <c r="H56" i="11"/>
  <c r="H52" i="11"/>
  <c r="H33" i="11"/>
  <c r="H32" i="11"/>
  <c r="H31" i="11"/>
  <c r="H30" i="11"/>
  <c r="H264" i="11"/>
  <c r="C23" i="1"/>
  <c r="E887" i="1"/>
  <c r="C1075" i="1"/>
  <c r="D1075" i="1"/>
  <c r="C1074" i="1"/>
  <c r="D1074" i="1"/>
  <c r="C1073" i="1"/>
  <c r="D1073" i="1"/>
  <c r="C1072" i="1"/>
  <c r="D1072" i="1"/>
  <c r="C1071" i="1"/>
  <c r="D1071" i="1"/>
  <c r="C306" i="1"/>
  <c r="C196" i="1"/>
  <c r="C198" i="1"/>
  <c r="C177" i="1"/>
  <c r="C176" i="1"/>
  <c r="C175" i="1"/>
  <c r="C174" i="1"/>
  <c r="E577" i="1"/>
  <c r="E177" i="1"/>
  <c r="E1140" i="1"/>
  <c r="C126" i="1"/>
  <c r="C18" i="1"/>
  <c r="F307" i="11"/>
  <c r="C235" i="1"/>
  <c r="C234" i="1"/>
  <c r="C233" i="1"/>
  <c r="C205" i="1"/>
  <c r="E640" i="1"/>
  <c r="D640" i="1"/>
  <c r="E1124" i="1"/>
  <c r="E1123" i="1"/>
  <c r="E1001" i="1"/>
  <c r="L211" i="11"/>
  <c r="C948" i="1"/>
  <c r="D948" i="1"/>
  <c r="J211" i="11"/>
  <c r="C946" i="1"/>
  <c r="D946" i="1"/>
  <c r="H300" i="11"/>
  <c r="M42" i="11"/>
  <c r="B1287" i="1"/>
  <c r="H280" i="11"/>
  <c r="C1121" i="1"/>
  <c r="D1121" i="1"/>
  <c r="H227" i="11"/>
  <c r="C998" i="1"/>
  <c r="D998" i="1"/>
  <c r="H240" i="11"/>
  <c r="C1058" i="1"/>
  <c r="D1058" i="1"/>
  <c r="B1288" i="1"/>
  <c r="B1289" i="1"/>
  <c r="C238" i="1"/>
  <c r="B226" i="1"/>
  <c r="B1286" i="1"/>
  <c r="D85" i="1"/>
  <c r="E85" i="1"/>
  <c r="E218" i="11"/>
  <c r="E164" i="11"/>
  <c r="G66" i="11"/>
  <c r="G65" i="11"/>
  <c r="M66" i="11"/>
  <c r="M65" i="11"/>
  <c r="D177" i="1"/>
  <c r="M51" i="11"/>
  <c r="E1000" i="1"/>
  <c r="M196" i="11"/>
  <c r="G51" i="11"/>
  <c r="N50" i="11"/>
  <c r="M50" i="11"/>
  <c r="E50" i="11"/>
  <c r="G196" i="11"/>
  <c r="G42" i="11"/>
  <c r="E42" i="11"/>
  <c r="G19" i="11"/>
  <c r="M19" i="11"/>
  <c r="G224" i="11"/>
  <c r="M27" i="11"/>
  <c r="M17" i="11"/>
  <c r="G27" i="11"/>
  <c r="G17" i="11"/>
  <c r="N16" i="11"/>
  <c r="M16" i="11"/>
  <c r="E16" i="11"/>
  <c r="M224" i="11"/>
  <c r="E224" i="11"/>
  <c r="M264" i="11"/>
  <c r="G264" i="11"/>
  <c r="N52" i="11"/>
  <c r="M52" i="11"/>
  <c r="G52" i="11"/>
  <c r="E815" i="1"/>
  <c r="E756" i="1"/>
  <c r="D18" i="1"/>
  <c r="E528" i="1"/>
  <c r="E527" i="1"/>
  <c r="E1148" i="1"/>
  <c r="E905" i="1"/>
  <c r="E835" i="1"/>
  <c r="E772" i="1"/>
  <c r="E708" i="1"/>
  <c r="E555" i="1"/>
  <c r="E486" i="1"/>
  <c r="E421" i="1"/>
  <c r="E1225" i="1"/>
  <c r="E1221" i="1"/>
  <c r="E127" i="1"/>
  <c r="E65" i="11"/>
  <c r="E17" i="11"/>
  <c r="E66" i="11"/>
  <c r="E264" i="11"/>
  <c r="E1224" i="1"/>
  <c r="E70" i="1"/>
  <c r="D70" i="1"/>
  <c r="E51" i="11"/>
  <c r="E196" i="11"/>
  <c r="E27" i="11"/>
  <c r="E19" i="11"/>
  <c r="E52" i="11"/>
  <c r="E529" i="1"/>
  <c r="E18" i="1"/>
  <c r="E329" i="1"/>
  <c r="E23" i="1"/>
  <c r="D23" i="1"/>
  <c r="E286" i="1"/>
  <c r="E1227" i="1"/>
  <c r="E1226" i="1"/>
  <c r="E1220" i="1"/>
  <c r="E1215" i="1"/>
  <c r="E1214" i="1"/>
  <c r="E1213" i="1"/>
  <c r="E1205" i="1"/>
  <c r="G294" i="11"/>
  <c r="G293" i="11"/>
  <c r="N292" i="11"/>
  <c r="N291" i="11"/>
  <c r="N290" i="11"/>
  <c r="N288" i="11"/>
  <c r="D156" i="1"/>
  <c r="E156" i="1"/>
  <c r="C156" i="1"/>
  <c r="C154" i="1"/>
  <c r="C152" i="1"/>
  <c r="E1256" i="1"/>
  <c r="C1258" i="1"/>
  <c r="C1241" i="1"/>
  <c r="C1248" i="1"/>
  <c r="C1250" i="1"/>
  <c r="E1234" i="1"/>
  <c r="E1233" i="1"/>
  <c r="C1228" i="1"/>
  <c r="E1206" i="1"/>
  <c r="E1199" i="1"/>
  <c r="E1196" i="1"/>
  <c r="E288" i="1"/>
  <c r="E152" i="1"/>
  <c r="E1021" i="1"/>
  <c r="E1020" i="1"/>
  <c r="C1085" i="1"/>
  <c r="C155" i="1"/>
  <c r="C109" i="1"/>
  <c r="D70" i="36"/>
  <c r="E70" i="36"/>
  <c r="F70" i="36"/>
  <c r="G70" i="36"/>
  <c r="H70" i="36"/>
  <c r="I70" i="36"/>
  <c r="J70" i="36"/>
  <c r="K70" i="36"/>
  <c r="C149" i="1"/>
  <c r="E149" i="1"/>
  <c r="C148" i="1"/>
  <c r="E148" i="1"/>
  <c r="C147" i="1"/>
  <c r="C145" i="1"/>
  <c r="E839" i="1"/>
  <c r="E145" i="1"/>
  <c r="C144" i="1"/>
  <c r="C142" i="1"/>
  <c r="E1153" i="1"/>
  <c r="H35" i="36"/>
  <c r="I12" i="36"/>
  <c r="C203" i="1"/>
  <c r="P227" i="11"/>
  <c r="E226" i="11"/>
  <c r="C1003" i="1"/>
  <c r="D1003" i="1"/>
  <c r="P201" i="11"/>
  <c r="L201" i="11"/>
  <c r="C890" i="1"/>
  <c r="D890" i="1"/>
  <c r="J201" i="11"/>
  <c r="E200" i="11"/>
  <c r="C883" i="1"/>
  <c r="D883" i="1"/>
  <c r="P184" i="11"/>
  <c r="L184" i="11"/>
  <c r="C819" i="1"/>
  <c r="D819" i="1"/>
  <c r="J184" i="11"/>
  <c r="E182" i="11"/>
  <c r="P153" i="11"/>
  <c r="L153" i="11"/>
  <c r="C759" i="1"/>
  <c r="D759" i="1"/>
  <c r="J153" i="11"/>
  <c r="C757" i="1"/>
  <c r="D757" i="1"/>
  <c r="E152" i="11"/>
  <c r="C752" i="1"/>
  <c r="D752" i="1"/>
  <c r="P135" i="11"/>
  <c r="L135" i="11"/>
  <c r="C669" i="1"/>
  <c r="D669" i="1"/>
  <c r="J135" i="11"/>
  <c r="E134" i="11"/>
  <c r="C663" i="1"/>
  <c r="D663" i="1"/>
  <c r="P99" i="11"/>
  <c r="L99" i="11"/>
  <c r="J99" i="11"/>
  <c r="C532" i="1"/>
  <c r="D532" i="1"/>
  <c r="E98" i="11"/>
  <c r="C526" i="1"/>
  <c r="D526" i="1"/>
  <c r="E58" i="11"/>
  <c r="C462" i="1"/>
  <c r="D462" i="1"/>
  <c r="P59" i="11"/>
  <c r="E36" i="11"/>
  <c r="C325" i="1"/>
  <c r="D325" i="1"/>
  <c r="P37" i="11"/>
  <c r="E21" i="11"/>
  <c r="C261" i="1"/>
  <c r="D261" i="1"/>
  <c r="P22" i="11"/>
  <c r="L59" i="11"/>
  <c r="C468" i="1"/>
  <c r="D468" i="1"/>
  <c r="K59" i="11"/>
  <c r="J59" i="11"/>
  <c r="C466" i="1"/>
  <c r="D466" i="1"/>
  <c r="L37" i="11"/>
  <c r="C331" i="1"/>
  <c r="D331" i="1"/>
  <c r="E331" i="1"/>
  <c r="J37" i="11"/>
  <c r="N192" i="11"/>
  <c r="N268" i="11"/>
  <c r="E770" i="1"/>
  <c r="C190" i="1"/>
  <c r="C188" i="1"/>
  <c r="C1022" i="1"/>
  <c r="C153" i="1"/>
  <c r="C860" i="1"/>
  <c r="C309" i="1"/>
  <c r="C308" i="1"/>
  <c r="C307" i="1"/>
  <c r="D122" i="1"/>
  <c r="C61" i="1"/>
  <c r="C49" i="1"/>
  <c r="C1203" i="1"/>
  <c r="D1203" i="1"/>
  <c r="E1203" i="1"/>
  <c r="E147" i="1"/>
  <c r="D142" i="1"/>
  <c r="D143" i="1"/>
  <c r="E154" i="1"/>
  <c r="E150" i="1"/>
  <c r="D150" i="1"/>
  <c r="D75" i="1"/>
  <c r="E75" i="1"/>
  <c r="G290" i="11"/>
  <c r="G292" i="11"/>
  <c r="C1194" i="1"/>
  <c r="D1194" i="1"/>
  <c r="C1198" i="1"/>
  <c r="D1198" i="1"/>
  <c r="G288" i="11"/>
  <c r="M291" i="11"/>
  <c r="N293" i="11"/>
  <c r="M293" i="11"/>
  <c r="E293" i="11"/>
  <c r="M288" i="11"/>
  <c r="M290" i="11"/>
  <c r="G291" i="11"/>
  <c r="M292" i="11"/>
  <c r="C424" i="1"/>
  <c r="D154" i="1"/>
  <c r="D152" i="1"/>
  <c r="N294" i="11"/>
  <c r="M294" i="11"/>
  <c r="D1236" i="1"/>
  <c r="E1255" i="1"/>
  <c r="C1236" i="1"/>
  <c r="D1248" i="1"/>
  <c r="E1228" i="1"/>
  <c r="E1232" i="1"/>
  <c r="E1236" i="1"/>
  <c r="E1254" i="1"/>
  <c r="C79" i="1"/>
  <c r="D145" i="1"/>
  <c r="D147" i="1"/>
  <c r="D148" i="1"/>
  <c r="D149" i="1"/>
  <c r="E1152" i="1"/>
  <c r="G192" i="11"/>
  <c r="M192" i="11"/>
  <c r="G268" i="11"/>
  <c r="M268" i="11"/>
  <c r="E122" i="1"/>
  <c r="C62" i="1"/>
  <c r="E288" i="11"/>
  <c r="E142" i="1"/>
  <c r="E143" i="1"/>
  <c r="E268" i="11"/>
  <c r="E290" i="11"/>
  <c r="E1198" i="1"/>
  <c r="E1194" i="1"/>
  <c r="E291" i="11"/>
  <c r="E292" i="11"/>
  <c r="E294" i="11"/>
  <c r="E1258" i="1"/>
  <c r="E1241" i="1"/>
  <c r="D1258" i="1"/>
  <c r="D1241" i="1"/>
  <c r="E1248" i="1"/>
  <c r="E1250" i="1"/>
  <c r="D1250" i="1"/>
  <c r="D1228" i="1"/>
  <c r="E192" i="11"/>
  <c r="E602" i="1"/>
  <c r="D602" i="1"/>
  <c r="E250" i="1"/>
  <c r="E249" i="1"/>
  <c r="D212" i="11"/>
  <c r="N208" i="11"/>
  <c r="G189" i="11"/>
  <c r="K163" i="11"/>
  <c r="K167" i="11"/>
  <c r="G161" i="11"/>
  <c r="G141" i="11"/>
  <c r="G105" i="11"/>
  <c r="K235" i="11"/>
  <c r="D4" i="1"/>
  <c r="E216" i="1"/>
  <c r="E215" i="1"/>
  <c r="E214" i="1"/>
  <c r="E213" i="1"/>
  <c r="E202" i="1"/>
  <c r="E129" i="1"/>
  <c r="E92" i="1"/>
  <c r="E222" i="1"/>
  <c r="E224" i="1"/>
  <c r="E1176" i="1"/>
  <c r="E1175" i="1"/>
  <c r="D141" i="1"/>
  <c r="D139" i="1"/>
  <c r="I211" i="11"/>
  <c r="C942" i="1"/>
  <c r="D942" i="1"/>
  <c r="K211" i="11"/>
  <c r="C945" i="1"/>
  <c r="D945" i="1"/>
  <c r="H211" i="11"/>
  <c r="C943" i="1"/>
  <c r="D943" i="1"/>
  <c r="F201" i="11"/>
  <c r="C878" i="1"/>
  <c r="D878" i="1"/>
  <c r="F211" i="11"/>
  <c r="C939" i="1"/>
  <c r="D939" i="1"/>
  <c r="F153" i="11"/>
  <c r="C747" i="1"/>
  <c r="D747" i="1"/>
  <c r="F99" i="11"/>
  <c r="C521" i="1"/>
  <c r="D521" i="1"/>
  <c r="K37" i="11"/>
  <c r="C327" i="1"/>
  <c r="D327" i="1"/>
  <c r="F37" i="11"/>
  <c r="C321" i="1"/>
  <c r="D321" i="1"/>
  <c r="G207" i="11"/>
  <c r="N207" i="11"/>
  <c r="M207" i="11"/>
  <c r="M211" i="11"/>
  <c r="C947" i="1"/>
  <c r="D947" i="1"/>
  <c r="G208" i="11"/>
  <c r="E208" i="11"/>
  <c r="E218" i="1"/>
  <c r="E139" i="1"/>
  <c r="E141" i="1"/>
  <c r="D132" i="1"/>
  <c r="E132" i="1"/>
  <c r="C1178" i="1"/>
  <c r="C141" i="1"/>
  <c r="C139" i="1"/>
  <c r="C121" i="1"/>
  <c r="C132" i="1"/>
  <c r="E943" i="1"/>
  <c r="C1168" i="1"/>
  <c r="E207" i="11"/>
  <c r="N211" i="11"/>
  <c r="C940" i="1"/>
  <c r="D940" i="1"/>
  <c r="G211" i="11"/>
  <c r="C944" i="1"/>
  <c r="D944" i="1"/>
  <c r="D1178" i="1"/>
  <c r="D1168" i="1"/>
  <c r="E1174" i="1"/>
  <c r="E1178" i="1"/>
  <c r="E1168" i="1"/>
  <c r="D588" i="1"/>
  <c r="E588" i="1"/>
  <c r="N274" i="11"/>
  <c r="K146" i="11"/>
  <c r="G146" i="11"/>
  <c r="K240" i="11"/>
  <c r="C1061" i="1"/>
  <c r="D1061" i="1"/>
  <c r="G234" i="11"/>
  <c r="K273" i="11"/>
  <c r="N273" i="11"/>
  <c r="N266" i="11"/>
  <c r="N265" i="11"/>
  <c r="G259" i="11"/>
  <c r="E1161" i="1"/>
  <c r="E1160" i="1"/>
  <c r="C136" i="1"/>
  <c r="E1149" i="1"/>
  <c r="E1147" i="1"/>
  <c r="E1146" i="1"/>
  <c r="E1144" i="1"/>
  <c r="E1143" i="1"/>
  <c r="E88" i="1"/>
  <c r="E1138" i="1"/>
  <c r="E84" i="1"/>
  <c r="E293" i="1"/>
  <c r="E294" i="1"/>
  <c r="E366" i="1"/>
  <c r="E367" i="1"/>
  <c r="D492" i="1"/>
  <c r="E492" i="1"/>
  <c r="D493" i="1"/>
  <c r="E493" i="1"/>
  <c r="D494" i="1"/>
  <c r="E494" i="1"/>
  <c r="E561" i="1"/>
  <c r="E562" i="1"/>
  <c r="E563" i="1"/>
  <c r="E715" i="1"/>
  <c r="E716" i="1"/>
  <c r="E719" i="1"/>
  <c r="E778" i="1"/>
  <c r="E779" i="1"/>
  <c r="E844" i="1"/>
  <c r="E845" i="1"/>
  <c r="E846" i="1"/>
  <c r="E911" i="1"/>
  <c r="E912" i="1"/>
  <c r="E964" i="1"/>
  <c r="E965" i="1"/>
  <c r="E1026" i="1"/>
  <c r="E1027" i="1"/>
  <c r="E428" i="1"/>
  <c r="E429" i="1"/>
  <c r="E1089" i="1"/>
  <c r="E1090" i="1"/>
  <c r="E282" i="1"/>
  <c r="D283" i="1"/>
  <c r="E283" i="1"/>
  <c r="E285" i="1"/>
  <c r="E287" i="1"/>
  <c r="E484" i="1"/>
  <c r="E485" i="1"/>
  <c r="E487" i="1"/>
  <c r="E95" i="1"/>
  <c r="E541" i="1"/>
  <c r="E59" i="1"/>
  <c r="E543" i="1"/>
  <c r="E547" i="1"/>
  <c r="E548" i="1"/>
  <c r="E83" i="1"/>
  <c r="E552" i="1"/>
  <c r="E554" i="1"/>
  <c r="E676" i="1"/>
  <c r="E678" i="1"/>
  <c r="E698" i="1"/>
  <c r="E699" i="1"/>
  <c r="E705" i="1"/>
  <c r="E706" i="1"/>
  <c r="E710" i="1"/>
  <c r="E766" i="1"/>
  <c r="E767" i="1"/>
  <c r="E768" i="1"/>
  <c r="E769" i="1"/>
  <c r="E771" i="1"/>
  <c r="E827" i="1"/>
  <c r="E828" i="1"/>
  <c r="E55" i="1"/>
  <c r="E829" i="1"/>
  <c r="E58" i="1"/>
  <c r="E69" i="1"/>
  <c r="E831" i="1"/>
  <c r="E89" i="1"/>
  <c r="E99" i="1"/>
  <c r="E832" i="1"/>
  <c r="E833" i="1"/>
  <c r="E107" i="1"/>
  <c r="E896" i="1"/>
  <c r="E50" i="1"/>
  <c r="E901" i="1"/>
  <c r="E902" i="1"/>
  <c r="E65" i="1"/>
  <c r="E81" i="1"/>
  <c r="E954" i="1"/>
  <c r="E955" i="1"/>
  <c r="E959" i="1"/>
  <c r="E1018" i="1"/>
  <c r="E418" i="1"/>
  <c r="E420" i="1"/>
  <c r="E422" i="1"/>
  <c r="E1080" i="1"/>
  <c r="E1081" i="1"/>
  <c r="E1083" i="1"/>
  <c r="D258" i="1"/>
  <c r="E258" i="1"/>
  <c r="E261" i="1"/>
  <c r="E325" i="1"/>
  <c r="E459" i="1"/>
  <c r="E462" i="1"/>
  <c r="E523" i="1"/>
  <c r="E526" i="1"/>
  <c r="E660" i="1"/>
  <c r="E663" i="1"/>
  <c r="E749" i="1"/>
  <c r="E752" i="1"/>
  <c r="E809" i="1"/>
  <c r="E812" i="1"/>
  <c r="E820" i="1"/>
  <c r="E880" i="1"/>
  <c r="E883" i="1"/>
  <c r="E941" i="1"/>
  <c r="E996" i="1"/>
  <c r="E1003" i="1"/>
  <c r="D395" i="1"/>
  <c r="E395" i="1"/>
  <c r="E398" i="1"/>
  <c r="E1056" i="1"/>
  <c r="E1059" i="1"/>
  <c r="C296" i="1"/>
  <c r="C369" i="1"/>
  <c r="C496" i="1"/>
  <c r="C565" i="1"/>
  <c r="C721" i="1"/>
  <c r="C781" i="1"/>
  <c r="C848" i="1"/>
  <c r="C914" i="1"/>
  <c r="C967" i="1"/>
  <c r="C1029" i="1"/>
  <c r="C431" i="1"/>
  <c r="C1092" i="1"/>
  <c r="C488" i="1"/>
  <c r="C557" i="1"/>
  <c r="C907" i="1"/>
  <c r="E272" i="1"/>
  <c r="E274" i="1"/>
  <c r="E275" i="1"/>
  <c r="E276" i="1"/>
  <c r="E277" i="1"/>
  <c r="E338" i="1"/>
  <c r="E339" i="1"/>
  <c r="E341" i="1"/>
  <c r="E344" i="1"/>
  <c r="E345" i="1"/>
  <c r="E410" i="1"/>
  <c r="E474" i="1"/>
  <c r="E476" i="1"/>
  <c r="E477" i="1"/>
  <c r="E478" i="1"/>
  <c r="E479" i="1"/>
  <c r="E1070" i="1"/>
  <c r="E1072" i="1"/>
  <c r="E1073" i="1"/>
  <c r="E1074" i="1"/>
  <c r="E1075" i="1"/>
  <c r="I27" i="36"/>
  <c r="D241" i="11"/>
  <c r="E1102" i="1"/>
  <c r="E1104" i="1"/>
  <c r="C123" i="1"/>
  <c r="C67" i="1"/>
  <c r="C83" i="1"/>
  <c r="C84" i="1"/>
  <c r="C95" i="1"/>
  <c r="C133" i="1"/>
  <c r="C89" i="1"/>
  <c r="C51" i="1"/>
  <c r="C134" i="1"/>
  <c r="E734" i="1"/>
  <c r="C74" i="1"/>
  <c r="N190" i="11"/>
  <c r="G89" i="11"/>
  <c r="G168" i="11"/>
  <c r="G165" i="11"/>
  <c r="G167" i="11"/>
  <c r="G126" i="11"/>
  <c r="G131" i="11"/>
  <c r="G117" i="11"/>
  <c r="G72" i="11"/>
  <c r="G85" i="11"/>
  <c r="D92" i="1"/>
  <c r="C92" i="1"/>
  <c r="C50" i="1"/>
  <c r="K145" i="11"/>
  <c r="K109" i="11"/>
  <c r="I227" i="11"/>
  <c r="C997" i="1"/>
  <c r="D997" i="1"/>
  <c r="I45" i="11"/>
  <c r="C396" i="1"/>
  <c r="D396" i="1"/>
  <c r="H45" i="11"/>
  <c r="C397" i="1"/>
  <c r="D397" i="1"/>
  <c r="F45" i="11"/>
  <c r="C393" i="1"/>
  <c r="D393" i="1"/>
  <c r="G33" i="11"/>
  <c r="G30" i="11"/>
  <c r="D216" i="1"/>
  <c r="C216" i="1"/>
  <c r="D215" i="1"/>
  <c r="C215" i="1"/>
  <c r="H28" i="36"/>
  <c r="D129" i="1"/>
  <c r="C129" i="1"/>
  <c r="D202" i="1"/>
  <c r="C202" i="1"/>
  <c r="C75" i="1"/>
  <c r="C88" i="1"/>
  <c r="J67" i="36"/>
  <c r="E67" i="36"/>
  <c r="D67" i="36"/>
  <c r="F60" i="36"/>
  <c r="E60" i="36"/>
  <c r="D60" i="36"/>
  <c r="I59" i="36"/>
  <c r="I52" i="36"/>
  <c r="I49" i="36"/>
  <c r="I44" i="36"/>
  <c r="I39" i="36"/>
  <c r="G67" i="36"/>
  <c r="K60" i="36"/>
  <c r="J60" i="36"/>
  <c r="H60" i="36"/>
  <c r="G60" i="36"/>
  <c r="K53" i="36"/>
  <c r="J53" i="36"/>
  <c r="H53" i="36"/>
  <c r="G53" i="36"/>
  <c r="F53" i="36"/>
  <c r="E53" i="36"/>
  <c r="D53" i="36"/>
  <c r="J45" i="36"/>
  <c r="H45" i="36"/>
  <c r="G45" i="36"/>
  <c r="F45" i="36"/>
  <c r="E45" i="36"/>
  <c r="D45" i="36"/>
  <c r="K35" i="36"/>
  <c r="J35" i="36"/>
  <c r="K28" i="36"/>
  <c r="J28" i="36"/>
  <c r="G28" i="36"/>
  <c r="F28" i="36"/>
  <c r="E28" i="36"/>
  <c r="D28" i="36"/>
  <c r="I34" i="36"/>
  <c r="I35" i="36"/>
  <c r="D88" i="1"/>
  <c r="N161" i="11"/>
  <c r="G15" i="11"/>
  <c r="G31" i="11"/>
  <c r="G32" i="11"/>
  <c r="G53" i="11"/>
  <c r="G56" i="11"/>
  <c r="G67" i="11"/>
  <c r="G70" i="11"/>
  <c r="G71" i="11"/>
  <c r="G73" i="11"/>
  <c r="G76" i="11"/>
  <c r="G295" i="11"/>
  <c r="G78" i="11"/>
  <c r="G79" i="11"/>
  <c r="G81" i="11"/>
  <c r="G86" i="11"/>
  <c r="G87" i="11"/>
  <c r="G88" i="11"/>
  <c r="G235" i="11"/>
  <c r="G107" i="11"/>
  <c r="G109" i="11"/>
  <c r="G110" i="11"/>
  <c r="G111" i="11"/>
  <c r="G113" i="11"/>
  <c r="G114" i="11"/>
  <c r="G116" i="11"/>
  <c r="G119" i="11"/>
  <c r="G296" i="11"/>
  <c r="G125" i="11"/>
  <c r="G127" i="11"/>
  <c r="G128" i="11"/>
  <c r="G130" i="11"/>
  <c r="G142" i="11"/>
  <c r="G145" i="11"/>
  <c r="G143" i="11"/>
  <c r="G163" i="11"/>
  <c r="G166" i="11"/>
  <c r="G169" i="11"/>
  <c r="G170" i="11"/>
  <c r="G171" i="11"/>
  <c r="G172" i="11"/>
  <c r="G173" i="11"/>
  <c r="G174" i="11"/>
  <c r="G190" i="11"/>
  <c r="G191" i="11"/>
  <c r="G193" i="11"/>
  <c r="G194" i="11"/>
  <c r="G195" i="11"/>
  <c r="G197" i="11"/>
  <c r="G217" i="11"/>
  <c r="G227" i="11"/>
  <c r="C999" i="1"/>
  <c r="D999" i="1"/>
  <c r="N124" i="11"/>
  <c r="N67" i="11"/>
  <c r="N70" i="11"/>
  <c r="N76" i="11"/>
  <c r="N78" i="11"/>
  <c r="N81" i="11"/>
  <c r="N86" i="11"/>
  <c r="N235" i="11"/>
  <c r="N89" i="11"/>
  <c r="N110" i="11"/>
  <c r="N111" i="11"/>
  <c r="N113" i="11"/>
  <c r="N114" i="11"/>
  <c r="N296" i="11"/>
  <c r="N45" i="11"/>
  <c r="C394" i="1"/>
  <c r="D394" i="1"/>
  <c r="C52" i="1"/>
  <c r="C63" i="1"/>
  <c r="C66" i="1"/>
  <c r="C114" i="1"/>
  <c r="C99" i="1"/>
  <c r="C187" i="1"/>
  <c r="C213" i="1"/>
  <c r="D213" i="1"/>
  <c r="C214" i="1"/>
  <c r="D214" i="1"/>
  <c r="C222" i="1"/>
  <c r="C224" i="1"/>
  <c r="D222" i="1"/>
  <c r="D224" i="1"/>
  <c r="C249" i="1"/>
  <c r="D249" i="1"/>
  <c r="C250" i="1"/>
  <c r="D250" i="1"/>
  <c r="C125" i="1"/>
  <c r="D306" i="1"/>
  <c r="E306" i="1"/>
  <c r="D308" i="1"/>
  <c r="E308" i="1"/>
  <c r="C314" i="1"/>
  <c r="D314" i="1"/>
  <c r="C315" i="1"/>
  <c r="D315" i="1"/>
  <c r="D380" i="1"/>
  <c r="E380" i="1"/>
  <c r="D381" i="1"/>
  <c r="E381" i="1"/>
  <c r="D382" i="1"/>
  <c r="E382" i="1"/>
  <c r="E442" i="1"/>
  <c r="E443" i="1"/>
  <c r="E444" i="1"/>
  <c r="C450" i="1"/>
  <c r="D450" i="1"/>
  <c r="C451" i="1"/>
  <c r="D451" i="1"/>
  <c r="E507" i="1"/>
  <c r="D508" i="1"/>
  <c r="E508" i="1"/>
  <c r="D509" i="1"/>
  <c r="E509" i="1"/>
  <c r="C514" i="1"/>
  <c r="D514" i="1"/>
  <c r="C515" i="1"/>
  <c r="D515" i="1"/>
  <c r="C178" i="1"/>
  <c r="C593" i="1"/>
  <c r="C208" i="1"/>
  <c r="D645" i="1"/>
  <c r="E645" i="1"/>
  <c r="D646" i="1"/>
  <c r="E646" i="1"/>
  <c r="C651" i="1"/>
  <c r="D651" i="1"/>
  <c r="C652" i="1"/>
  <c r="D652" i="1"/>
  <c r="C82" i="1"/>
  <c r="E733" i="1"/>
  <c r="E735" i="1"/>
  <c r="C740" i="1"/>
  <c r="D740" i="1"/>
  <c r="C741" i="1"/>
  <c r="D741" i="1"/>
  <c r="C76" i="1"/>
  <c r="D793" i="1"/>
  <c r="E793" i="1"/>
  <c r="D794" i="1"/>
  <c r="E794" i="1"/>
  <c r="D795" i="1"/>
  <c r="E795" i="1"/>
  <c r="C245" i="1"/>
  <c r="C800" i="1"/>
  <c r="D800" i="1"/>
  <c r="C801" i="1"/>
  <c r="D801" i="1"/>
  <c r="C107" i="1"/>
  <c r="C69" i="1"/>
  <c r="C55" i="1"/>
  <c r="D860" i="1"/>
  <c r="E867" i="1"/>
  <c r="C871" i="1"/>
  <c r="D871" i="1"/>
  <c r="C872" i="1"/>
  <c r="D872" i="1"/>
  <c r="E926" i="1"/>
  <c r="E927" i="1"/>
  <c r="E928" i="1"/>
  <c r="C65" i="1"/>
  <c r="C81" i="1"/>
  <c r="C91" i="1"/>
  <c r="C98" i="1"/>
  <c r="C103" i="1"/>
  <c r="C108" i="1"/>
  <c r="C110" i="1"/>
  <c r="C118" i="1"/>
  <c r="C60" i="1"/>
  <c r="C163" i="1"/>
  <c r="E980" i="1"/>
  <c r="E981" i="1"/>
  <c r="E982" i="1"/>
  <c r="C988" i="1"/>
  <c r="D988" i="1"/>
  <c r="E1040" i="1"/>
  <c r="E1041" i="1"/>
  <c r="E1042" i="1"/>
  <c r="G4" i="11"/>
  <c r="G5" i="11"/>
  <c r="J22" i="11"/>
  <c r="C264" i="1"/>
  <c r="D264" i="1"/>
  <c r="L22" i="11"/>
  <c r="C266" i="1"/>
  <c r="D266" i="1"/>
  <c r="D23" i="11"/>
  <c r="J45" i="11"/>
  <c r="C401" i="1"/>
  <c r="D401" i="1"/>
  <c r="L45" i="11"/>
  <c r="C403" i="1"/>
  <c r="D403" i="1"/>
  <c r="E403" i="1"/>
  <c r="D46" i="11"/>
  <c r="D60" i="11"/>
  <c r="E945" i="1"/>
  <c r="E942" i="1"/>
  <c r="E946" i="1"/>
  <c r="E948" i="1"/>
  <c r="E947" i="1"/>
  <c r="G74" i="11"/>
  <c r="N74" i="11"/>
  <c r="G77" i="11"/>
  <c r="N77" i="11"/>
  <c r="K86" i="11"/>
  <c r="K87" i="11"/>
  <c r="K88" i="11"/>
  <c r="D100" i="11"/>
  <c r="I105" i="11"/>
  <c r="K111" i="11"/>
  <c r="K116" i="11"/>
  <c r="K117" i="11"/>
  <c r="K119" i="11"/>
  <c r="K296" i="11"/>
  <c r="K300" i="11"/>
  <c r="K124" i="11"/>
  <c r="K125" i="11"/>
  <c r="K126" i="11"/>
  <c r="K127" i="11"/>
  <c r="K128" i="11"/>
  <c r="K130" i="11"/>
  <c r="D136" i="11"/>
  <c r="I141" i="11"/>
  <c r="I161" i="11"/>
  <c r="G179" i="11"/>
  <c r="N179" i="11"/>
  <c r="D185" i="11"/>
  <c r="I189" i="11"/>
  <c r="N141" i="11"/>
  <c r="C101" i="1"/>
  <c r="C111" i="1"/>
  <c r="C59" i="1"/>
  <c r="D59" i="1"/>
  <c r="C131" i="1"/>
  <c r="C162" i="1"/>
  <c r="C77" i="1"/>
  <c r="D69" i="1"/>
  <c r="D107" i="1"/>
  <c r="C165" i="1"/>
  <c r="C100" i="1"/>
  <c r="D65" i="1"/>
  <c r="C161" i="1"/>
  <c r="C128" i="1"/>
  <c r="D81" i="1"/>
  <c r="C115" i="1"/>
  <c r="C626" i="1"/>
  <c r="C113" i="1"/>
  <c r="C58" i="1"/>
  <c r="N197" i="11"/>
  <c r="N169" i="11"/>
  <c r="N143" i="11"/>
  <c r="N130" i="11"/>
  <c r="N193" i="11"/>
  <c r="N173" i="11"/>
  <c r="N166" i="11"/>
  <c r="N162" i="11"/>
  <c r="N145" i="11"/>
  <c r="N125" i="11"/>
  <c r="N56" i="11"/>
  <c r="N195" i="11"/>
  <c r="N191" i="11"/>
  <c r="N171" i="11"/>
  <c r="N142" i="11"/>
  <c r="N127" i="11"/>
  <c r="N33" i="11"/>
  <c r="N30" i="11"/>
  <c r="N15" i="11"/>
  <c r="N189" i="11"/>
  <c r="N194" i="11"/>
  <c r="N174" i="11"/>
  <c r="N172" i="11"/>
  <c r="N170" i="11"/>
  <c r="N168" i="11"/>
  <c r="N167" i="11"/>
  <c r="N165" i="11"/>
  <c r="N163" i="11"/>
  <c r="N131" i="11"/>
  <c r="N128" i="11"/>
  <c r="N126" i="11"/>
  <c r="N119" i="11"/>
  <c r="N116" i="11"/>
  <c r="N109" i="11"/>
  <c r="N88" i="11"/>
  <c r="N87" i="11"/>
  <c r="N79" i="11"/>
  <c r="N295" i="11"/>
  <c r="N73" i="11"/>
  <c r="N71" i="11"/>
  <c r="N105" i="11"/>
  <c r="D52" i="1"/>
  <c r="N217" i="11"/>
  <c r="N227" i="11"/>
  <c r="C995" i="1"/>
  <c r="D995" i="1"/>
  <c r="N53" i="11"/>
  <c r="N32" i="11"/>
  <c r="N31" i="11"/>
  <c r="N300" i="11"/>
  <c r="G300" i="11"/>
  <c r="C1202" i="1"/>
  <c r="D1202" i="1"/>
  <c r="E1202" i="1"/>
  <c r="K45" i="36"/>
  <c r="C218" i="1"/>
  <c r="I280" i="11"/>
  <c r="C1120" i="1"/>
  <c r="D1120" i="1"/>
  <c r="D58" i="1"/>
  <c r="E264" i="1"/>
  <c r="J303" i="11"/>
  <c r="E266" i="1"/>
  <c r="L303" i="11"/>
  <c r="K280" i="11"/>
  <c r="C1126" i="1"/>
  <c r="D1126" i="1"/>
  <c r="E86" i="1"/>
  <c r="D86" i="1"/>
  <c r="I240" i="11"/>
  <c r="E419" i="1"/>
  <c r="E424" i="1"/>
  <c r="D424" i="1"/>
  <c r="F71" i="36"/>
  <c r="G240" i="11"/>
  <c r="C1060" i="1"/>
  <c r="D1060" i="1"/>
  <c r="C1195" i="1"/>
  <c r="D1195" i="1"/>
  <c r="M171" i="11"/>
  <c r="E171" i="11"/>
  <c r="D99" i="1"/>
  <c r="M77" i="11"/>
  <c r="E77" i="11"/>
  <c r="E76" i="36"/>
  <c r="E77" i="36"/>
  <c r="G76" i="36"/>
  <c r="E71" i="36"/>
  <c r="I45" i="36"/>
  <c r="I53" i="36"/>
  <c r="I60" i="36"/>
  <c r="G71" i="36"/>
  <c r="D71" i="36"/>
  <c r="E397" i="1"/>
  <c r="E944" i="1"/>
  <c r="E394" i="1"/>
  <c r="E940" i="1"/>
  <c r="B950" i="1"/>
  <c r="J71" i="36"/>
  <c r="E1015" i="1"/>
  <c r="E64" i="1"/>
  <c r="D64" i="1"/>
  <c r="D121" i="1"/>
  <c r="E1137" i="1"/>
  <c r="E68" i="1"/>
  <c r="D68" i="1"/>
  <c r="E1145" i="1"/>
  <c r="E109" i="1"/>
  <c r="D109" i="1"/>
  <c r="F76" i="36"/>
  <c r="J76" i="36"/>
  <c r="J308" i="11"/>
  <c r="L308" i="11"/>
  <c r="C1201" i="1"/>
  <c r="D1201" i="1"/>
  <c r="I184" i="11"/>
  <c r="C810" i="1"/>
  <c r="D810" i="1"/>
  <c r="E1120" i="1"/>
  <c r="E575" i="1"/>
  <c r="E175" i="1"/>
  <c r="D175" i="1"/>
  <c r="E211" i="11"/>
  <c r="E1017" i="1"/>
  <c r="E126" i="1"/>
  <c r="D126" i="1"/>
  <c r="M81" i="11"/>
  <c r="E81" i="11"/>
  <c r="H99" i="11"/>
  <c r="C525" i="1"/>
  <c r="D525" i="1"/>
  <c r="D118" i="1"/>
  <c r="D55" i="1"/>
  <c r="E1079" i="1"/>
  <c r="E1085" i="1"/>
  <c r="E155" i="1"/>
  <c r="D1085" i="1"/>
  <c r="D155" i="1"/>
  <c r="E281" i="1"/>
  <c r="D289" i="1"/>
  <c r="E284" i="1"/>
  <c r="E102" i="1"/>
  <c r="M295" i="11"/>
  <c r="E82" i="11"/>
  <c r="M193" i="11"/>
  <c r="E193" i="11"/>
  <c r="I153" i="11"/>
  <c r="C750" i="1"/>
  <c r="D750" i="1"/>
  <c r="M110" i="11"/>
  <c r="E110" i="11"/>
  <c r="F135" i="11"/>
  <c r="C658" i="1"/>
  <c r="D658" i="1"/>
  <c r="H153" i="11"/>
  <c r="C751" i="1"/>
  <c r="D751" i="1"/>
  <c r="E141" i="11"/>
  <c r="N201" i="11"/>
  <c r="C879" i="1"/>
  <c r="D879" i="1"/>
  <c r="I135" i="11"/>
  <c r="C661" i="1"/>
  <c r="D661" i="1"/>
  <c r="E997" i="1"/>
  <c r="K153" i="11"/>
  <c r="C754" i="1"/>
  <c r="D754" i="1"/>
  <c r="K201" i="11"/>
  <c r="C885" i="1"/>
  <c r="D885" i="1"/>
  <c r="F184" i="11"/>
  <c r="C807" i="1"/>
  <c r="D807" i="1"/>
  <c r="G153" i="11"/>
  <c r="C753" i="1"/>
  <c r="D753" i="1"/>
  <c r="H135" i="11"/>
  <c r="C662" i="1"/>
  <c r="D662" i="1"/>
  <c r="E105" i="11"/>
  <c r="H184" i="11"/>
  <c r="C811" i="1"/>
  <c r="D811" i="1"/>
  <c r="E161" i="11"/>
  <c r="I201" i="11"/>
  <c r="C881" i="1"/>
  <c r="D881" i="1"/>
  <c r="K135" i="11"/>
  <c r="C666" i="1"/>
  <c r="D666" i="1"/>
  <c r="K184" i="11"/>
  <c r="C816" i="1"/>
  <c r="D816" i="1"/>
  <c r="G201" i="11"/>
  <c r="C884" i="1"/>
  <c r="D884" i="1"/>
  <c r="H201" i="11"/>
  <c r="C882" i="1"/>
  <c r="D882" i="1"/>
  <c r="E189" i="11"/>
  <c r="G99" i="11"/>
  <c r="C530" i="1"/>
  <c r="D530" i="1"/>
  <c r="I99" i="11"/>
  <c r="C524" i="1"/>
  <c r="D524" i="1"/>
  <c r="K99" i="11"/>
  <c r="C531" i="1"/>
  <c r="D531" i="1"/>
  <c r="M30" i="11"/>
  <c r="E30" i="11"/>
  <c r="M179" i="11"/>
  <c r="E179" i="11"/>
  <c r="M124" i="11"/>
  <c r="E124" i="11"/>
  <c r="H37" i="11"/>
  <c r="C324" i="1"/>
  <c r="D324" i="1"/>
  <c r="I37" i="11"/>
  <c r="C323" i="1"/>
  <c r="D323" i="1"/>
  <c r="H22" i="11"/>
  <c r="C260" i="1"/>
  <c r="D260" i="1"/>
  <c r="M296" i="11"/>
  <c r="E296" i="11"/>
  <c r="M145" i="11"/>
  <c r="E145" i="11"/>
  <c r="I59" i="11"/>
  <c r="C460" i="1"/>
  <c r="D460" i="1"/>
  <c r="M45" i="11"/>
  <c r="C402" i="1"/>
  <c r="D402" i="1"/>
  <c r="N258" i="11"/>
  <c r="G162" i="11"/>
  <c r="G59" i="11"/>
  <c r="C463" i="1"/>
  <c r="D463" i="1"/>
  <c r="F59" i="11"/>
  <c r="C457" i="1"/>
  <c r="D457" i="1"/>
  <c r="N37" i="11"/>
  <c r="C322" i="1"/>
  <c r="D322" i="1"/>
  <c r="H59" i="11"/>
  <c r="C461" i="1"/>
  <c r="D461" i="1"/>
  <c r="G37" i="11"/>
  <c r="C326" i="1"/>
  <c r="D326" i="1"/>
  <c r="M76" i="11"/>
  <c r="E76" i="11"/>
  <c r="M32" i="11"/>
  <c r="E32" i="11"/>
  <c r="M53" i="11"/>
  <c r="E53" i="11"/>
  <c r="M163" i="11"/>
  <c r="E163" i="11"/>
  <c r="M167" i="11"/>
  <c r="E167" i="11"/>
  <c r="M170" i="11"/>
  <c r="E170" i="11"/>
  <c r="M174" i="11"/>
  <c r="E174" i="11"/>
  <c r="M194" i="11"/>
  <c r="E194" i="11"/>
  <c r="M89" i="11"/>
  <c r="E89" i="11"/>
  <c r="M113" i="11"/>
  <c r="E113" i="11"/>
  <c r="I22" i="11"/>
  <c r="C259" i="1"/>
  <c r="D259" i="1"/>
  <c r="M31" i="11"/>
  <c r="E31" i="11"/>
  <c r="M73" i="11"/>
  <c r="E73" i="11"/>
  <c r="M79" i="11"/>
  <c r="E79" i="11"/>
  <c r="M109" i="11"/>
  <c r="E109" i="11"/>
  <c r="M126" i="11"/>
  <c r="E126" i="11"/>
  <c r="M131" i="11"/>
  <c r="E131" i="11"/>
  <c r="M168" i="11"/>
  <c r="E168" i="11"/>
  <c r="M172" i="11"/>
  <c r="E172" i="11"/>
  <c r="M56" i="11"/>
  <c r="E56" i="11"/>
  <c r="M166" i="11"/>
  <c r="E166" i="11"/>
  <c r="M74" i="11"/>
  <c r="E74" i="11"/>
  <c r="M235" i="11"/>
  <c r="E235" i="11"/>
  <c r="M78" i="11"/>
  <c r="E78" i="11"/>
  <c r="M114" i="11"/>
  <c r="E114" i="11"/>
  <c r="M217" i="11"/>
  <c r="M227" i="11"/>
  <c r="M165" i="11"/>
  <c r="E165" i="11"/>
  <c r="M33" i="11"/>
  <c r="E33" i="11"/>
  <c r="M195" i="11"/>
  <c r="E195" i="11"/>
  <c r="M173" i="11"/>
  <c r="E173" i="11"/>
  <c r="M169" i="11"/>
  <c r="E169" i="11"/>
  <c r="M111" i="11"/>
  <c r="E111" i="11"/>
  <c r="M86" i="11"/>
  <c r="E86" i="11"/>
  <c r="M70" i="11"/>
  <c r="E70" i="11"/>
  <c r="M67" i="11"/>
  <c r="E67" i="11"/>
  <c r="D49" i="1"/>
  <c r="D83" i="1"/>
  <c r="D51" i="1"/>
  <c r="E120" i="1"/>
  <c r="D120" i="1"/>
  <c r="E56" i="1"/>
  <c r="E830" i="1"/>
  <c r="E62" i="1"/>
  <c r="D62" i="1"/>
  <c r="C116" i="1"/>
  <c r="D89" i="1"/>
  <c r="D50" i="1"/>
  <c r="M162" i="11"/>
  <c r="E1004" i="1"/>
  <c r="E888" i="1"/>
  <c r="E817" i="1"/>
  <c r="E667" i="1"/>
  <c r="E532" i="1"/>
  <c r="E464" i="1"/>
  <c r="E401" i="1"/>
  <c r="E327" i="1"/>
  <c r="E328" i="1"/>
  <c r="E1062" i="1"/>
  <c r="E1064" i="1"/>
  <c r="E890" i="1"/>
  <c r="E819" i="1"/>
  <c r="E669" i="1"/>
  <c r="E534" i="1"/>
  <c r="E466" i="1"/>
  <c r="E396" i="1"/>
  <c r="E1061" i="1"/>
  <c r="C774" i="1"/>
  <c r="D218" i="1"/>
  <c r="C384" i="1"/>
  <c r="C373" i="1"/>
  <c r="D624" i="1"/>
  <c r="E624" i="1"/>
  <c r="E208" i="1"/>
  <c r="E210" i="1"/>
  <c r="C648" i="1"/>
  <c r="D311" i="1"/>
  <c r="D300" i="1"/>
  <c r="E612" i="1"/>
  <c r="C242" i="1"/>
  <c r="C862" i="1"/>
  <c r="C243" i="1"/>
  <c r="C192" i="1"/>
  <c r="C869" i="1"/>
  <c r="E574" i="1"/>
  <c r="C614" i="1"/>
  <c r="C628" i="1"/>
  <c r="E1129" i="1"/>
  <c r="C362" i="1"/>
  <c r="E446" i="1"/>
  <c r="E435" i="1"/>
  <c r="E431" i="1"/>
  <c r="E1029" i="1"/>
  <c r="E967" i="1"/>
  <c r="E781" i="1"/>
  <c r="E369" i="1"/>
  <c r="D869" i="1"/>
  <c r="D853" i="1"/>
  <c r="E866" i="1"/>
  <c r="E869" i="1"/>
  <c r="E853" i="1"/>
  <c r="E707" i="1"/>
  <c r="E133" i="1"/>
  <c r="D133" i="1"/>
  <c r="E704" i="1"/>
  <c r="E123" i="1"/>
  <c r="D123" i="1"/>
  <c r="D862" i="1"/>
  <c r="E860" i="1"/>
  <c r="E862" i="1"/>
  <c r="E311" i="1"/>
  <c r="E300" i="1"/>
  <c r="D63" i="1"/>
  <c r="D131" i="1"/>
  <c r="E131" i="1"/>
  <c r="D110" i="1"/>
  <c r="E110" i="1"/>
  <c r="D91" i="1"/>
  <c r="E91" i="1"/>
  <c r="D61" i="1"/>
  <c r="E61" i="1"/>
  <c r="E907" i="1"/>
  <c r="E49" i="1"/>
  <c r="D111" i="1"/>
  <c r="E696" i="1"/>
  <c r="E111" i="1"/>
  <c r="D82" i="1"/>
  <c r="E679" i="1"/>
  <c r="E82" i="1"/>
  <c r="D74" i="1"/>
  <c r="E677" i="1"/>
  <c r="E74" i="1"/>
  <c r="D67" i="1"/>
  <c r="E675" i="1"/>
  <c r="E67" i="1"/>
  <c r="D137" i="1"/>
  <c r="E137" i="1"/>
  <c r="E737" i="1"/>
  <c r="E726" i="1"/>
  <c r="E648" i="1"/>
  <c r="E570" i="1"/>
  <c r="E511" i="1"/>
  <c r="E500" i="1"/>
  <c r="E244" i="1"/>
  <c r="E384" i="1"/>
  <c r="E373" i="1"/>
  <c r="D1044" i="1"/>
  <c r="D1034" i="1"/>
  <c r="D984" i="1"/>
  <c r="D973" i="1"/>
  <c r="D648" i="1"/>
  <c r="D570" i="1"/>
  <c r="D737" i="1"/>
  <c r="D726" i="1"/>
  <c r="C1044" i="1"/>
  <c r="C579" i="1"/>
  <c r="C1269" i="1"/>
  <c r="C210" i="1"/>
  <c r="C511" i="1"/>
  <c r="C244" i="1"/>
  <c r="C311" i="1"/>
  <c r="C300" i="1"/>
  <c r="C737" i="1"/>
  <c r="C930" i="1"/>
  <c r="C919" i="1"/>
  <c r="C446" i="1"/>
  <c r="C435" i="1"/>
  <c r="E1044" i="1"/>
  <c r="E1034" i="1"/>
  <c r="E984" i="1"/>
  <c r="E973" i="1"/>
  <c r="E930" i="1"/>
  <c r="E919" i="1"/>
  <c r="E243" i="1"/>
  <c r="E1107" i="1"/>
  <c r="E1096" i="1"/>
  <c r="E113" i="1"/>
  <c r="E125" i="1"/>
  <c r="E488" i="1"/>
  <c r="E914" i="1"/>
  <c r="E721" i="1"/>
  <c r="E496" i="1"/>
  <c r="E162" i="1"/>
  <c r="D144" i="1"/>
  <c r="D114" i="1"/>
  <c r="E114" i="1"/>
  <c r="D108" i="1"/>
  <c r="E108" i="1"/>
  <c r="D103" i="1"/>
  <c r="E103" i="1"/>
  <c r="D98" i="1"/>
  <c r="E98" i="1"/>
  <c r="E52" i="1"/>
  <c r="D134" i="1"/>
  <c r="E134" i="1"/>
  <c r="E51" i="1"/>
  <c r="D76" i="1"/>
  <c r="E765" i="1"/>
  <c r="E76" i="1"/>
  <c r="D100" i="1"/>
  <c r="E680" i="1"/>
  <c r="E100" i="1"/>
  <c r="D163" i="1"/>
  <c r="E163" i="1"/>
  <c r="E296" i="1"/>
  <c r="E593" i="1"/>
  <c r="E187" i="1"/>
  <c r="E192" i="1"/>
  <c r="E960" i="1"/>
  <c r="E115" i="1"/>
  <c r="E79" i="1"/>
  <c r="E128" i="1"/>
  <c r="E1092" i="1"/>
  <c r="E848" i="1"/>
  <c r="E565" i="1"/>
  <c r="E165" i="1"/>
  <c r="E60" i="1"/>
  <c r="C151" i="1"/>
  <c r="E350" i="1"/>
  <c r="D1022" i="1"/>
  <c r="D153" i="1"/>
  <c r="C87" i="1"/>
  <c r="C90" i="1"/>
  <c r="D106" i="1"/>
  <c r="D187" i="1"/>
  <c r="D192" i="1"/>
  <c r="D593" i="1"/>
  <c r="C1163" i="1"/>
  <c r="C1268" i="1"/>
  <c r="C840" i="1"/>
  <c r="C166" i="1"/>
  <c r="D161" i="1"/>
  <c r="C137" i="1"/>
  <c r="C960" i="1"/>
  <c r="C130" i="1"/>
  <c r="C1155" i="1"/>
  <c r="C138" i="1"/>
  <c r="G274" i="11"/>
  <c r="M274" i="11"/>
  <c r="M190" i="11"/>
  <c r="M71" i="11"/>
  <c r="E71" i="11"/>
  <c r="M116" i="11"/>
  <c r="E116" i="11"/>
  <c r="N117" i="11"/>
  <c r="M117" i="11"/>
  <c r="E117" i="11"/>
  <c r="N85" i="11"/>
  <c r="M85" i="11"/>
  <c r="E85" i="11"/>
  <c r="N72" i="11"/>
  <c r="M72" i="11"/>
  <c r="E72" i="11"/>
  <c r="G45" i="11"/>
  <c r="C399" i="1"/>
  <c r="D399" i="1"/>
  <c r="M130" i="11"/>
  <c r="E130" i="11"/>
  <c r="N22" i="11"/>
  <c r="C257" i="1"/>
  <c r="D257" i="1"/>
  <c r="M15" i="11"/>
  <c r="E15" i="11"/>
  <c r="G22" i="11"/>
  <c r="C262" i="1"/>
  <c r="D262" i="1"/>
  <c r="K45" i="11"/>
  <c r="M273" i="11"/>
  <c r="M88" i="11"/>
  <c r="E88" i="11"/>
  <c r="M128" i="11"/>
  <c r="E128" i="11"/>
  <c r="M191" i="11"/>
  <c r="E191" i="11"/>
  <c r="M143" i="11"/>
  <c r="E143" i="11"/>
  <c r="F22" i="11"/>
  <c r="G258" i="11"/>
  <c r="G266" i="11"/>
  <c r="E266" i="11"/>
  <c r="G273" i="11"/>
  <c r="M87" i="11"/>
  <c r="E87" i="11"/>
  <c r="M119" i="11"/>
  <c r="E119" i="11"/>
  <c r="M127" i="11"/>
  <c r="E127" i="11"/>
  <c r="M142" i="11"/>
  <c r="M125" i="11"/>
  <c r="E125" i="11"/>
  <c r="M197" i="11"/>
  <c r="E197" i="11"/>
  <c r="N107" i="11"/>
  <c r="M107" i="11"/>
  <c r="E107" i="11"/>
  <c r="N146" i="11"/>
  <c r="M146" i="11"/>
  <c r="E146" i="11"/>
  <c r="N234" i="11"/>
  <c r="G265" i="11"/>
  <c r="E265" i="11"/>
  <c r="N259" i="11"/>
  <c r="M259" i="11"/>
  <c r="K22" i="11"/>
  <c r="C263" i="1"/>
  <c r="D263" i="1"/>
  <c r="C797" i="1"/>
  <c r="D796" i="1"/>
  <c r="E796" i="1"/>
  <c r="E245" i="1"/>
  <c r="D162" i="1"/>
  <c r="D101" i="1"/>
  <c r="D125" i="1"/>
  <c r="D128" i="1"/>
  <c r="D95" i="1"/>
  <c r="D84" i="1"/>
  <c r="D243" i="1"/>
  <c r="D244" i="1"/>
  <c r="D907" i="1"/>
  <c r="D511" i="1"/>
  <c r="D500" i="1"/>
  <c r="D113" i="1"/>
  <c r="D165" i="1"/>
  <c r="E412" i="1"/>
  <c r="E39" i="1"/>
  <c r="C39" i="1"/>
  <c r="D384" i="1"/>
  <c r="D373" i="1"/>
  <c r="D115" i="1"/>
  <c r="E697" i="1"/>
  <c r="C112" i="1"/>
  <c r="D446" i="1"/>
  <c r="D435" i="1"/>
  <c r="D242" i="1"/>
  <c r="D79" i="1"/>
  <c r="D1092" i="1"/>
  <c r="C984" i="1"/>
  <c r="D76" i="36"/>
  <c r="D1029" i="1"/>
  <c r="D848" i="1"/>
  <c r="D721" i="1"/>
  <c r="D369" i="1"/>
  <c r="C711" i="1"/>
  <c r="D960" i="1"/>
  <c r="D130" i="1"/>
  <c r="D557" i="1"/>
  <c r="D967" i="1"/>
  <c r="D914" i="1"/>
  <c r="D781" i="1"/>
  <c r="E1071" i="1"/>
  <c r="E1076" i="1"/>
  <c r="C1076" i="1"/>
  <c r="C40" i="1"/>
  <c r="C41" i="1"/>
  <c r="C38" i="1"/>
  <c r="C43" i="1"/>
  <c r="C415" i="1"/>
  <c r="E409" i="1"/>
  <c r="D930" i="1"/>
  <c r="D919" i="1"/>
  <c r="D1107" i="1"/>
  <c r="D1096" i="1"/>
  <c r="C42" i="1"/>
  <c r="C480" i="1"/>
  <c r="C35" i="1"/>
  <c r="C37" i="1"/>
  <c r="E273" i="1"/>
  <c r="D774" i="1"/>
  <c r="D488" i="1"/>
  <c r="D565" i="1"/>
  <c r="D296" i="1"/>
  <c r="I28" i="36"/>
  <c r="C1107" i="1"/>
  <c r="C1096" i="1"/>
  <c r="C278" i="1"/>
  <c r="D431" i="1"/>
  <c r="D496" i="1"/>
  <c r="M300" i="11"/>
  <c r="C1197" i="1"/>
  <c r="D1197" i="1"/>
  <c r="E1197" i="1"/>
  <c r="C1057" i="1"/>
  <c r="D1057" i="1"/>
  <c r="E1057" i="1"/>
  <c r="F303" i="11"/>
  <c r="C256" i="1"/>
  <c r="D256" i="1"/>
  <c r="K71" i="36"/>
  <c r="K76" i="36"/>
  <c r="F77" i="36"/>
  <c r="C1267" i="1"/>
  <c r="E101" i="1"/>
  <c r="D579" i="1"/>
  <c r="D1269" i="1"/>
  <c r="D208" i="1"/>
  <c r="H303" i="11"/>
  <c r="E263" i="1"/>
  <c r="K303" i="11"/>
  <c r="E259" i="1"/>
  <c r="I303" i="11"/>
  <c r="E259" i="11"/>
  <c r="M280" i="11"/>
  <c r="C1128" i="1"/>
  <c r="D1128" i="1"/>
  <c r="G280" i="11"/>
  <c r="C1125" i="1"/>
  <c r="D1125" i="1"/>
  <c r="N280" i="11"/>
  <c r="C1118" i="1"/>
  <c r="D1118" i="1"/>
  <c r="G77" i="36"/>
  <c r="M234" i="11"/>
  <c r="N240" i="11"/>
  <c r="J77" i="36"/>
  <c r="E273" i="11"/>
  <c r="D626" i="1"/>
  <c r="D77" i="36"/>
  <c r="E258" i="11"/>
  <c r="C973" i="1"/>
  <c r="B976" i="1"/>
  <c r="C786" i="1"/>
  <c r="C500" i="1"/>
  <c r="C1034" i="1"/>
  <c r="C853" i="1"/>
  <c r="E260" i="1"/>
  <c r="H308" i="11"/>
  <c r="E882" i="1"/>
  <c r="B892" i="1"/>
  <c r="B922" i="1"/>
  <c r="E811" i="1"/>
  <c r="E998" i="1"/>
  <c r="B1008" i="1"/>
  <c r="E525" i="1"/>
  <c r="E1054" i="1"/>
  <c r="E262" i="1"/>
  <c r="E807" i="1"/>
  <c r="E658" i="1"/>
  <c r="E399" i="1"/>
  <c r="B405" i="1"/>
  <c r="E326" i="1"/>
  <c r="E322" i="1"/>
  <c r="B333" i="1"/>
  <c r="B376" i="1"/>
  <c r="E530" i="1"/>
  <c r="C726" i="1"/>
  <c r="C570" i="1"/>
  <c r="E557" i="1"/>
  <c r="E118" i="1"/>
  <c r="E121" i="1"/>
  <c r="E274" i="11"/>
  <c r="E626" i="1"/>
  <c r="C226" i="1"/>
  <c r="I308" i="11"/>
  <c r="F308" i="11"/>
  <c r="K308" i="11"/>
  <c r="E1201" i="1"/>
  <c r="E1195" i="1"/>
  <c r="E295" i="11"/>
  <c r="E300" i="11"/>
  <c r="B26" i="1"/>
  <c r="E461" i="1"/>
  <c r="E324" i="1"/>
  <c r="E662" i="1"/>
  <c r="E463" i="1"/>
  <c r="E402" i="1"/>
  <c r="E257" i="1"/>
  <c r="D196" i="1"/>
  <c r="D198" i="1"/>
  <c r="D174" i="1"/>
  <c r="D178" i="1"/>
  <c r="E289" i="1"/>
  <c r="C1280" i="1"/>
  <c r="C1279" i="1"/>
  <c r="C1288" i="1"/>
  <c r="M153" i="11"/>
  <c r="C758" i="1"/>
  <c r="D758" i="1"/>
  <c r="E162" i="11"/>
  <c r="E184" i="11"/>
  <c r="M184" i="11"/>
  <c r="E1005" i="1"/>
  <c r="G184" i="11"/>
  <c r="G135" i="11"/>
  <c r="C664" i="1"/>
  <c r="D664" i="1"/>
  <c r="M135" i="11"/>
  <c r="C668" i="1"/>
  <c r="D668" i="1"/>
  <c r="E135" i="11"/>
  <c r="E142" i="11"/>
  <c r="N184" i="11"/>
  <c r="C808" i="1"/>
  <c r="D808" i="1"/>
  <c r="N153" i="11"/>
  <c r="C748" i="1"/>
  <c r="D748" i="1"/>
  <c r="N135" i="11"/>
  <c r="C659" i="1"/>
  <c r="D659" i="1"/>
  <c r="E153" i="11"/>
  <c r="E217" i="11"/>
  <c r="E227" i="11"/>
  <c r="M201" i="11"/>
  <c r="E190" i="11"/>
  <c r="E201" i="11"/>
  <c r="N99" i="11"/>
  <c r="C522" i="1"/>
  <c r="D522" i="1"/>
  <c r="M99" i="11"/>
  <c r="C533" i="1"/>
  <c r="D533" i="1"/>
  <c r="E99" i="11"/>
  <c r="E59" i="11"/>
  <c r="M59" i="11"/>
  <c r="C467" i="1"/>
  <c r="D467" i="1"/>
  <c r="E45" i="11"/>
  <c r="N59" i="11"/>
  <c r="C458" i="1"/>
  <c r="D458" i="1"/>
  <c r="E37" i="11"/>
  <c r="M37" i="11"/>
  <c r="D614" i="1"/>
  <c r="E242" i="1"/>
  <c r="E246" i="1"/>
  <c r="E170" i="1"/>
  <c r="C246" i="1"/>
  <c r="D39" i="1"/>
  <c r="E834" i="1"/>
  <c r="E840" i="1"/>
  <c r="D840" i="1"/>
  <c r="D711" i="1"/>
  <c r="C157" i="1"/>
  <c r="E531" i="1"/>
  <c r="E995" i="1"/>
  <c r="E661" i="1"/>
  <c r="E810" i="1"/>
  <c r="E885" i="1"/>
  <c r="E999" i="1"/>
  <c r="E881" i="1"/>
  <c r="E1058" i="1"/>
  <c r="E666" i="1"/>
  <c r="E884" i="1"/>
  <c r="E524" i="1"/>
  <c r="E400" i="1"/>
  <c r="E879" i="1"/>
  <c r="E468" i="1"/>
  <c r="D1076" i="1"/>
  <c r="M22" i="11"/>
  <c r="C265" i="1"/>
  <c r="D265" i="1"/>
  <c r="D112" i="1"/>
  <c r="E63" i="1"/>
  <c r="D77" i="1"/>
  <c r="E278" i="1"/>
  <c r="D35" i="1"/>
  <c r="E411" i="1"/>
  <c r="E35" i="1"/>
  <c r="D480" i="1"/>
  <c r="E475" i="1"/>
  <c r="E480" i="1"/>
  <c r="D42" i="1"/>
  <c r="E42" i="1"/>
  <c r="D43" i="1"/>
  <c r="E413" i="1"/>
  <c r="D1155" i="1"/>
  <c r="E1135" i="1"/>
  <c r="D87" i="1"/>
  <c r="E1012" i="1"/>
  <c r="E1022" i="1"/>
  <c r="E153" i="1"/>
  <c r="E774" i="1"/>
  <c r="E38" i="1"/>
  <c r="D40" i="1"/>
  <c r="E414" i="1"/>
  <c r="E40" i="1"/>
  <c r="D136" i="1"/>
  <c r="E1150" i="1"/>
  <c r="E136" i="1"/>
  <c r="D1163" i="1"/>
  <c r="D1268" i="1"/>
  <c r="E1159" i="1"/>
  <c r="E106" i="1"/>
  <c r="D90" i="1"/>
  <c r="E90" i="1"/>
  <c r="D138" i="1"/>
  <c r="E1154" i="1"/>
  <c r="E196" i="1"/>
  <c r="E614" i="1"/>
  <c r="E579" i="1"/>
  <c r="E1269" i="1"/>
  <c r="E174" i="1"/>
  <c r="E178" i="1"/>
  <c r="E797" i="1"/>
  <c r="E786" i="1"/>
  <c r="E1270" i="1"/>
  <c r="D60" i="1"/>
  <c r="D362" i="1"/>
  <c r="D166" i="1"/>
  <c r="C17" i="1"/>
  <c r="D37" i="1"/>
  <c r="D245" i="1"/>
  <c r="D246" i="1"/>
  <c r="D170" i="1"/>
  <c r="D797" i="1"/>
  <c r="D786" i="1"/>
  <c r="D1270" i="1"/>
  <c r="D66" i="1"/>
  <c r="E337" i="1"/>
  <c r="C34" i="1"/>
  <c r="C45" i="1"/>
  <c r="C346" i="1"/>
  <c r="C1266" i="1"/>
  <c r="D278" i="1"/>
  <c r="D210" i="1"/>
  <c r="D226" i="1"/>
  <c r="C950" i="1"/>
  <c r="C976" i="1"/>
  <c r="D41" i="1"/>
  <c r="D38" i="1"/>
  <c r="E521" i="1"/>
  <c r="D415" i="1"/>
  <c r="E112" i="1"/>
  <c r="K77" i="36"/>
  <c r="C1055" i="1"/>
  <c r="D1055" i="1"/>
  <c r="E1055" i="1"/>
  <c r="C813" i="1"/>
  <c r="D813" i="1"/>
  <c r="E813" i="1"/>
  <c r="D1267" i="1"/>
  <c r="C1270" i="1"/>
  <c r="N303" i="11"/>
  <c r="G303" i="11"/>
  <c r="C268" i="1"/>
  <c r="E280" i="11"/>
  <c r="E198" i="1"/>
  <c r="E226" i="1"/>
  <c r="E234" i="11"/>
  <c r="E240" i="11"/>
  <c r="M240" i="11"/>
  <c r="E628" i="1"/>
  <c r="D628" i="1"/>
  <c r="B438" i="1"/>
  <c r="B1036" i="1"/>
  <c r="B20" i="1"/>
  <c r="E522" i="1"/>
  <c r="B536" i="1"/>
  <c r="B583" i="1"/>
  <c r="B630" i="1"/>
  <c r="B761" i="1"/>
  <c r="B789" i="1"/>
  <c r="E664" i="1"/>
  <c r="B470" i="1"/>
  <c r="B503" i="1"/>
  <c r="B1066" i="1"/>
  <c r="B1098" i="1"/>
  <c r="B1208" i="1"/>
  <c r="B1244" i="1"/>
  <c r="E808" i="1"/>
  <c r="B822" i="1"/>
  <c r="B856" i="1"/>
  <c r="E1125" i="1"/>
  <c r="B15" i="1"/>
  <c r="B268" i="1"/>
  <c r="B16" i="1"/>
  <c r="C170" i="1"/>
  <c r="C1281" i="1"/>
  <c r="E144" i="1"/>
  <c r="D1008" i="1"/>
  <c r="D1036" i="1"/>
  <c r="C28" i="1"/>
  <c r="E43" i="1"/>
  <c r="E130" i="1"/>
  <c r="D151" i="1"/>
  <c r="D78" i="1"/>
  <c r="E1118" i="1"/>
  <c r="N308" i="11"/>
  <c r="G308" i="11"/>
  <c r="C1208" i="1"/>
  <c r="C1244" i="1"/>
  <c r="E458" i="1"/>
  <c r="E256" i="1"/>
  <c r="C1289" i="1"/>
  <c r="E1281" i="1"/>
  <c r="E1290" i="1"/>
  <c r="C1277" i="1"/>
  <c r="C1286" i="1"/>
  <c r="D1281" i="1"/>
  <c r="D1290" i="1"/>
  <c r="D1279" i="1"/>
  <c r="D1288" i="1"/>
  <c r="D1280" i="1"/>
  <c r="D1289" i="1"/>
  <c r="C1278" i="1"/>
  <c r="C1287" i="1"/>
  <c r="C405" i="1"/>
  <c r="C438" i="1"/>
  <c r="C1008" i="1"/>
  <c r="C1036" i="1"/>
  <c r="E703" i="1"/>
  <c r="D116" i="1"/>
  <c r="C892" i="1"/>
  <c r="C922" i="1"/>
  <c r="E330" i="1"/>
  <c r="E818" i="1"/>
  <c r="E1126" i="1"/>
  <c r="E1128" i="1"/>
  <c r="E22" i="11"/>
  <c r="E362" i="1"/>
  <c r="E41" i="1"/>
  <c r="E415" i="1"/>
  <c r="E346" i="1"/>
  <c r="E34" i="1"/>
  <c r="E37" i="1"/>
  <c r="E1163" i="1"/>
  <c r="E1268" i="1"/>
  <c r="E161" i="1"/>
  <c r="E166" i="1"/>
  <c r="E321" i="1"/>
  <c r="E878" i="1"/>
  <c r="E457" i="1"/>
  <c r="D950" i="1"/>
  <c r="D976" i="1"/>
  <c r="E939" i="1"/>
  <c r="E950" i="1"/>
  <c r="E976" i="1"/>
  <c r="E994" i="1"/>
  <c r="D405" i="1"/>
  <c r="D438" i="1"/>
  <c r="E393" i="1"/>
  <c r="E405" i="1"/>
  <c r="D17" i="1"/>
  <c r="E1119" i="1"/>
  <c r="E17" i="1"/>
  <c r="E1122" i="1"/>
  <c r="E87" i="1"/>
  <c r="E1155" i="1"/>
  <c r="E138" i="1"/>
  <c r="E66" i="1"/>
  <c r="D346" i="1"/>
  <c r="D1266" i="1"/>
  <c r="D34" i="1"/>
  <c r="D45" i="1"/>
  <c r="C1290" i="1"/>
  <c r="E1266" i="1"/>
  <c r="E438" i="1"/>
  <c r="E303" i="11"/>
  <c r="M303" i="11"/>
  <c r="D1208" i="1"/>
  <c r="D1244" i="1"/>
  <c r="M308" i="11"/>
  <c r="B22" i="1"/>
  <c r="B30" i="1"/>
  <c r="B671" i="1"/>
  <c r="B729" i="1"/>
  <c r="B1131" i="1"/>
  <c r="B1170" i="1"/>
  <c r="B302" i="1"/>
  <c r="B1281" i="1"/>
  <c r="B1290" i="1"/>
  <c r="E1002" i="1"/>
  <c r="E28" i="1"/>
  <c r="D28" i="1"/>
  <c r="D21" i="1"/>
  <c r="C21" i="1"/>
  <c r="E78" i="1"/>
  <c r="E77" i="1"/>
  <c r="E21" i="1"/>
  <c r="C1131" i="1"/>
  <c r="C1170" i="1"/>
  <c r="E308" i="11"/>
  <c r="C470" i="1"/>
  <c r="C503" i="1"/>
  <c r="D157" i="1"/>
  <c r="E1280" i="1"/>
  <c r="E1289" i="1"/>
  <c r="D1277" i="1"/>
  <c r="D1286" i="1"/>
  <c r="E1279" i="1"/>
  <c r="E1288" i="1"/>
  <c r="C302" i="1"/>
  <c r="C1066" i="1"/>
  <c r="C1098" i="1"/>
  <c r="E265" i="1"/>
  <c r="E268" i="1"/>
  <c r="E116" i="1"/>
  <c r="E711" i="1"/>
  <c r="E1267" i="1"/>
  <c r="E467" i="1"/>
  <c r="E460" i="1"/>
  <c r="E1121" i="1"/>
  <c r="E45" i="1"/>
  <c r="E1117" i="1"/>
  <c r="E816" i="1"/>
  <c r="C822" i="1"/>
  <c r="C856" i="1"/>
  <c r="D1066" i="1"/>
  <c r="D1098" i="1"/>
  <c r="B1265" i="1"/>
  <c r="E1204" i="1"/>
  <c r="E1208" i="1"/>
  <c r="E1244" i="1"/>
  <c r="E1060" i="1"/>
  <c r="E1066" i="1"/>
  <c r="E1098" i="1"/>
  <c r="E1008" i="1"/>
  <c r="E1036" i="1"/>
  <c r="B1276" i="1"/>
  <c r="B1282" i="1"/>
  <c r="B181" i="1"/>
  <c r="B228" i="1"/>
  <c r="E151" i="1"/>
  <c r="E157" i="1"/>
  <c r="E1277" i="1"/>
  <c r="E1286" i="1"/>
  <c r="D1278" i="1"/>
  <c r="D1287" i="1"/>
  <c r="D268" i="1"/>
  <c r="E889" i="1"/>
  <c r="E892" i="1"/>
  <c r="E922" i="1"/>
  <c r="D892" i="1"/>
  <c r="D922" i="1"/>
  <c r="D470" i="1"/>
  <c r="D503" i="1"/>
  <c r="E470" i="1"/>
  <c r="E503" i="1"/>
  <c r="E302" i="1"/>
  <c r="E822" i="1"/>
  <c r="E856" i="1"/>
  <c r="E1127" i="1"/>
  <c r="D1131" i="1"/>
  <c r="D1170" i="1"/>
  <c r="C536" i="1"/>
  <c r="C583" i="1"/>
  <c r="C630" i="1"/>
  <c r="D822" i="1"/>
  <c r="D856" i="1"/>
  <c r="C671" i="1"/>
  <c r="E659" i="1"/>
  <c r="C16" i="1"/>
  <c r="N304" i="11"/>
  <c r="B1285" i="1"/>
  <c r="B1291" i="1"/>
  <c r="B1271" i="1"/>
  <c r="E1278" i="1"/>
  <c r="E1287" i="1"/>
  <c r="D302" i="1"/>
  <c r="D536" i="1"/>
  <c r="D583" i="1"/>
  <c r="D630" i="1"/>
  <c r="E533" i="1"/>
  <c r="E1131" i="1"/>
  <c r="E1170" i="1"/>
  <c r="C729" i="1"/>
  <c r="E668" i="1"/>
  <c r="E671" i="1"/>
  <c r="E729" i="1"/>
  <c r="E536" i="1"/>
  <c r="E583" i="1"/>
  <c r="E630" i="1"/>
  <c r="D671" i="1"/>
  <c r="D729" i="1"/>
  <c r="C333" i="1"/>
  <c r="D333" i="1"/>
  <c r="C376" i="1"/>
  <c r="D376" i="1"/>
  <c r="E323" i="1"/>
  <c r="E333" i="1"/>
  <c r="E376" i="1"/>
  <c r="E748" i="1"/>
  <c r="E16" i="1"/>
  <c r="D16" i="1"/>
  <c r="C20" i="1"/>
  <c r="H304" i="11"/>
  <c r="C24" i="1"/>
  <c r="K304" i="11"/>
  <c r="C22" i="1"/>
  <c r="G304" i="11"/>
  <c r="C27" i="1"/>
  <c r="L304" i="11"/>
  <c r="C19" i="1"/>
  <c r="I304" i="11"/>
  <c r="I305" i="11"/>
  <c r="D22" i="1"/>
  <c r="C25" i="1"/>
  <c r="J304" i="11"/>
  <c r="J305" i="11"/>
  <c r="H305" i="11"/>
  <c r="K310" i="11"/>
  <c r="E310" i="11"/>
  <c r="I310" i="11"/>
  <c r="G310" i="11"/>
  <c r="H310" i="11"/>
  <c r="N310" i="11"/>
  <c r="N305" i="11"/>
  <c r="J310" i="11"/>
  <c r="M310" i="11"/>
  <c r="L305" i="11"/>
  <c r="E747" i="1"/>
  <c r="D15" i="1"/>
  <c r="E750" i="1"/>
  <c r="E19" i="1"/>
  <c r="D19" i="1"/>
  <c r="D26" i="1"/>
  <c r="E758" i="1"/>
  <c r="E26" i="1"/>
  <c r="D25" i="1"/>
  <c r="E757" i="1"/>
  <c r="E25" i="1"/>
  <c r="G305" i="11"/>
  <c r="C761" i="1"/>
  <c r="C1265" i="1"/>
  <c r="C15" i="1"/>
  <c r="C26" i="1"/>
  <c r="M304" i="11"/>
  <c r="M305" i="11"/>
  <c r="L310" i="11"/>
  <c r="K305" i="11"/>
  <c r="C1271" i="1"/>
  <c r="E753" i="1"/>
  <c r="E22" i="1"/>
  <c r="E754" i="1"/>
  <c r="E24" i="1"/>
  <c r="D24" i="1"/>
  <c r="F304" i="11"/>
  <c r="F305" i="11"/>
  <c r="C30" i="1"/>
  <c r="C181" i="1"/>
  <c r="D20" i="1"/>
  <c r="E751" i="1"/>
  <c r="E20" i="1"/>
  <c r="E759" i="1"/>
  <c r="E27" i="1"/>
  <c r="D27" i="1"/>
  <c r="C789" i="1"/>
  <c r="D761" i="1"/>
  <c r="D1265" i="1"/>
  <c r="E15" i="1"/>
  <c r="C1276" i="1"/>
  <c r="C1282" i="1"/>
  <c r="E304" i="11"/>
  <c r="E305" i="11"/>
  <c r="D1271" i="1"/>
  <c r="D30" i="1"/>
  <c r="D1276" i="1"/>
  <c r="D1282" i="1"/>
  <c r="E761" i="1"/>
  <c r="E1265" i="1"/>
  <c r="E30" i="1"/>
  <c r="D789" i="1"/>
  <c r="C1285" i="1"/>
  <c r="C1291" i="1"/>
  <c r="C228" i="1"/>
  <c r="E1276" i="1"/>
  <c r="E1282" i="1"/>
  <c r="E181" i="1"/>
  <c r="E228" i="1"/>
  <c r="K73" i="36"/>
  <c r="K74" i="36"/>
  <c r="E1271" i="1"/>
  <c r="E789" i="1"/>
  <c r="D181" i="1"/>
  <c r="D228" i="1"/>
  <c r="J73" i="36"/>
  <c r="J74" i="36"/>
  <c r="C80" i="36"/>
  <c r="E1285" i="1"/>
  <c r="E1291" i="1"/>
  <c r="D1285" i="1"/>
  <c r="D1291" i="1"/>
  <c r="F310" i="11"/>
  <c r="H67" i="36"/>
  <c r="H71" i="36"/>
  <c r="I64" i="36"/>
  <c r="I67" i="36"/>
  <c r="I71" i="36"/>
  <c r="I73" i="36"/>
  <c r="H73" i="36"/>
  <c r="H76" i="36"/>
  <c r="H77" i="36"/>
  <c r="G74" i="36"/>
  <c r="I74" i="36"/>
  <c r="I76" i="36"/>
  <c r="I77" i="36"/>
</calcChain>
</file>

<file path=xl/sharedStrings.xml><?xml version="1.0" encoding="utf-8"?>
<sst xmlns="http://schemas.openxmlformats.org/spreadsheetml/2006/main" count="1776" uniqueCount="649">
  <si>
    <t>LED &amp; TOURISM DEVELOPMENT &amp; PROMOTION</t>
  </si>
  <si>
    <t>BALANCING TO SOURCE OF FUNDS</t>
  </si>
  <si>
    <t>CORPORATE IMAGE, WEBSITE AND INTERNET</t>
  </si>
  <si>
    <t>WEBSITE MAINTANANCE</t>
  </si>
  <si>
    <t>STAND-BY</t>
  </si>
  <si>
    <t>SUPPORT TO LOCAL INITIATIVES</t>
  </si>
  <si>
    <t xml:space="preserve">GRAP TECHNICAL SUPPORT </t>
  </si>
  <si>
    <t>TOTAL ALLOCATION MBOMBELA LOCAL MUNICIPALITY</t>
  </si>
  <si>
    <t>TOTAL ALLOCATION NKOMAZI MUNICIPALITY</t>
  </si>
  <si>
    <t>TOTAL ALLOCATION THABA CHWEU LOCAL MUNICIPALITY</t>
  </si>
  <si>
    <t>TOTAL ALLOCATION UMJINDI LOCAL MUNICIPALITY</t>
  </si>
  <si>
    <t>BUSHBUCKRIDGE LOCAL MUNICIPALITY</t>
  </si>
  <si>
    <t>TOTAL ALLOCATION BUSHBUCKRIDGE LOCAL MUNICIPALITY</t>
  </si>
  <si>
    <t>EQUITABLE SHARE</t>
  </si>
  <si>
    <t>FINANCE MANAGEMENT GRANT</t>
  </si>
  <si>
    <t>MUNICIPAL SYSTEMS IMPROVEMENT GRANT</t>
  </si>
  <si>
    <t>SECRETARY: CHIEF WHIP</t>
  </si>
  <si>
    <t>CHIEF WHIP</t>
  </si>
  <si>
    <t>OFFICE OF THE CHIEF WHIP</t>
  </si>
  <si>
    <t>LED &amp; TOURISM</t>
  </si>
  <si>
    <t>PUBLIC PARTICIPATION OFFICER</t>
  </si>
  <si>
    <t>CORPORATE SERVICES</t>
  </si>
  <si>
    <t>SWITCBOARD OPERATOR</t>
  </si>
  <si>
    <t>RECORDS CLERK</t>
  </si>
  <si>
    <t>COMMITTEE ADMINISTRATOR</t>
  </si>
  <si>
    <t xml:space="preserve">TOTAL REMUNERATION </t>
  </si>
  <si>
    <t>LE SWIEGELAAR</t>
  </si>
  <si>
    <t>MCL DE LANGE</t>
  </si>
  <si>
    <t>BM MATHEBULA</t>
  </si>
  <si>
    <t>JN MHLONGO</t>
  </si>
  <si>
    <t>LP MALAMBE</t>
  </si>
  <si>
    <t>AM MACHITHEKA</t>
  </si>
  <si>
    <t>MB MASEGELA</t>
  </si>
  <si>
    <t>NN THABETHE</t>
  </si>
  <si>
    <t>LV BUNTING</t>
  </si>
  <si>
    <t>VACANT</t>
  </si>
  <si>
    <t>PROGRAMS AND CAMPAIGNS</t>
  </si>
  <si>
    <t>MH SHABANGU</t>
  </si>
  <si>
    <t>LJ  SPYDER</t>
  </si>
  <si>
    <t>C DE LANGE</t>
  </si>
  <si>
    <t>S SHONGWE</t>
  </si>
  <si>
    <t>JCVW BURGER</t>
  </si>
  <si>
    <t>QS HADEBE</t>
  </si>
  <si>
    <t>MJ MSOMI</t>
  </si>
  <si>
    <t>SENIOR RECORDS CLERK</t>
  </si>
  <si>
    <t>SR MAHLAKOANE</t>
  </si>
  <si>
    <t>DEPUTY MANAGER: PERFOMANCE MANAGEMENT</t>
  </si>
  <si>
    <t>DEPUTY MANAGER: IDP</t>
  </si>
  <si>
    <t>DEPUTY MANAGER: GIS</t>
  </si>
  <si>
    <t>COORDINATOR: INTERGRATED DEVELOPMENT PLANNING</t>
  </si>
  <si>
    <t>MANAGER: FINANCE &amp; SUPPLY CHAIN MANAGEMENT</t>
  </si>
  <si>
    <t>DEPUTY MANAGER: TREASURY OFFICE</t>
  </si>
  <si>
    <t>DEPUTY MANAGER: SUPPLY CHAIN MANAGEMENT</t>
  </si>
  <si>
    <t>ASSISTANT MANAGER: SUPPLY CHAIN MANAGEMENT</t>
  </si>
  <si>
    <t>ASSISTANT MANAGER: BUDGET OFFICE</t>
  </si>
  <si>
    <t>DS FAKUDE</t>
  </si>
  <si>
    <t>C PETERSON</t>
  </si>
  <si>
    <t>ASSISTANT MANAGER: TREASURY OFFICE</t>
  </si>
  <si>
    <t>ASSET MANAGEMENT OFFICER</t>
  </si>
  <si>
    <t>SALARY MANAGEMENT OFFICER</t>
  </si>
  <si>
    <t>EXPENDITURE MANAGEMENT OFFICER</t>
  </si>
  <si>
    <t>MP MTHETHWA</t>
  </si>
  <si>
    <t>SECRETARY: MANAGER FINANCE &amp; SCM</t>
  </si>
  <si>
    <t>SUPPLY CHAIN MANAGEMENT OFFICER</t>
  </si>
  <si>
    <t>ASSET CLERK</t>
  </si>
  <si>
    <t>FINANCE DOCUMENT CONTROL</t>
  </si>
  <si>
    <t>MANAGER: CORPORATE SERVICES</t>
  </si>
  <si>
    <t>DRIVER</t>
  </si>
  <si>
    <t>MANAGER: LED &amp; TOURISM</t>
  </si>
  <si>
    <t>ASSISTANT MANAGER: LED</t>
  </si>
  <si>
    <t>LED OFFICER</t>
  </si>
  <si>
    <t>TOURISM OFFICER</t>
  </si>
  <si>
    <t>SECRETARY: MMC- TECHNICAL SERVICES</t>
  </si>
  <si>
    <t>SECRETARY: MMC- FINANCE &amp; SUPPLY CHAIN MANAGEMENT</t>
  </si>
  <si>
    <t>EVENTS &amp; MARKETING MANAGEMENT COORDINATOR</t>
  </si>
  <si>
    <t>ASSISTANT MANAGER: DISASTER MANAGEMENT</t>
  </si>
  <si>
    <t>DISASTER MANAGEMENT OFFICER</t>
  </si>
  <si>
    <t>SECRETARY: MANAGER LED &amp; TOURISM</t>
  </si>
  <si>
    <t>DEPUTY MANAGER</t>
  </si>
  <si>
    <t>P CHAUKE</t>
  </si>
  <si>
    <t>L KHWINANA</t>
  </si>
  <si>
    <t>A SENGWAYO</t>
  </si>
  <si>
    <t>Q MASHELE</t>
  </si>
  <si>
    <t>P DU TOIT</t>
  </si>
  <si>
    <t>Z MASEKO</t>
  </si>
  <si>
    <t>L WINTERBACH</t>
  </si>
  <si>
    <t>RENTAL BOHLABELA OFFICES</t>
  </si>
  <si>
    <t>MEDIA AND LIASON OFFICER</t>
  </si>
  <si>
    <t>H HLATSHWAYO</t>
  </si>
  <si>
    <t>W KHUMALO</t>
  </si>
  <si>
    <t>C MNISI</t>
  </si>
  <si>
    <t>P BERLINGTON</t>
  </si>
  <si>
    <t>TP SERITE</t>
  </si>
  <si>
    <t>MS MKHABELA</t>
  </si>
  <si>
    <t>P BAPELA</t>
  </si>
  <si>
    <t>PMS COORDINATOR</t>
  </si>
  <si>
    <t xml:space="preserve"> GENERAL EXPENSES</t>
  </si>
  <si>
    <t>IGR COORDINATOR</t>
  </si>
  <si>
    <t>DRIVER/ CLERICAL ASSISTANCE</t>
  </si>
  <si>
    <t>KP KHOZA</t>
  </si>
  <si>
    <t>ASSISTANT MANAGER: HIV PREVENTION</t>
  </si>
  <si>
    <t>TL NDABA</t>
  </si>
  <si>
    <t>LM SITHOLE</t>
  </si>
  <si>
    <t>PUBLIC SAFETY MANAGER</t>
  </si>
  <si>
    <t>D COMPION</t>
  </si>
  <si>
    <t>CN MBOMBI</t>
  </si>
  <si>
    <t>DP MASONDO</t>
  </si>
  <si>
    <t>SM NKOSI</t>
  </si>
  <si>
    <t>CONTRACT MANAGEMENT OFFICER</t>
  </si>
  <si>
    <t>CTCO: TOOLS AND EQUIPMENT</t>
  </si>
  <si>
    <t>PMS OPERATIONAL COSTS- EDM FUNDS</t>
  </si>
  <si>
    <t>RENTAL OF MUNICIPAL FACILITIES</t>
  </si>
  <si>
    <t>TOTAL RENTAL OF MUNICIPAL FACILITIES</t>
  </si>
  <si>
    <t xml:space="preserve">RENTAL OF MUNICIPAL FACILITIES </t>
  </si>
  <si>
    <t xml:space="preserve">TOTAL RENTAL OF MUNICIPAL FACILITIES </t>
  </si>
  <si>
    <t>EQUITABLE RSC LEVIES REPLACEMENT</t>
  </si>
  <si>
    <t>EQUITABLE SHARE FORMULA</t>
  </si>
  <si>
    <t xml:space="preserve">MUNICIPAL PROPERTY RATES </t>
  </si>
  <si>
    <t>PROPERTY RATES</t>
  </si>
  <si>
    <t>TOTAL MUNICIPAL PROPERTY RATES</t>
  </si>
  <si>
    <t>MUNICPAL PROPERTY RATES</t>
  </si>
  <si>
    <t>P MPANTSHA</t>
  </si>
  <si>
    <t>C MAHLANGU</t>
  </si>
  <si>
    <t>TOTAL OPERATING  INCOME</t>
  </si>
  <si>
    <t>CONDITIONAL GRANTS- DORA</t>
  </si>
  <si>
    <t>Equitable share: RSC Levies Replacement</t>
  </si>
  <si>
    <t>OPERATING (SURPLUS)/ LOSS</t>
  </si>
  <si>
    <t xml:space="preserve">REMUNERATION OF COUNCILLORS </t>
  </si>
  <si>
    <t>REMUNERATION OF COUNCILLORS</t>
  </si>
  <si>
    <t>ANALYSING OF SAMPLES</t>
  </si>
  <si>
    <t>FINANCE AND SUPPLY CHAIN MANAGEMENT</t>
  </si>
  <si>
    <t>CONFERENCE &amp; CONGRESS</t>
  </si>
  <si>
    <t>SITTING ALLOWANCE</t>
  </si>
  <si>
    <t>CELLPHONE ALLOWANCE: FULL TIME COUNCILLORS</t>
  </si>
  <si>
    <t>CELLPHONE ALLOWANCE: PART TIME COUNCILLORS</t>
  </si>
  <si>
    <t>Remuneration of councillors</t>
  </si>
  <si>
    <t>GIS OPERATIONAL COSTS</t>
  </si>
  <si>
    <t>RELOCATION &amp; RECRUITMENT COSTS</t>
  </si>
  <si>
    <t>ASSISTANT: COMMUNICATION, MARKETING AND EVENTS</t>
  </si>
  <si>
    <t>DEPUTY MANAGER: WATER AND SANITATION</t>
  </si>
  <si>
    <t>INCLUDING BOHL</t>
  </si>
  <si>
    <t>SP KHUMALO</t>
  </si>
  <si>
    <t>L DE WET</t>
  </si>
  <si>
    <t>DD MABENA</t>
  </si>
  <si>
    <t>EDM</t>
  </si>
  <si>
    <t>TECHNICAL SERVICES</t>
  </si>
  <si>
    <t>MARKETING &amp; PUBLICITY</t>
  </si>
  <si>
    <t>MANAGER: TECHNICAL SERVICES</t>
  </si>
  <si>
    <t>MAM - SAFETY &amp; SECURITY</t>
  </si>
  <si>
    <t>MBOMBELA LOCAL MUNICIPALITY</t>
  </si>
  <si>
    <t>NKOMAZI LOCAL MUNICIPALITY</t>
  </si>
  <si>
    <t>THABA CHWEU LOCAL MUNICIPALITY</t>
  </si>
  <si>
    <t>UMJINDI LOCAL MUNICIPALITY</t>
  </si>
  <si>
    <t>TOTAL CONTRIBUTION TO FUNDS</t>
  </si>
  <si>
    <t>SUB TOTAL EXPENDITURE</t>
  </si>
  <si>
    <t>LESS AMOUNT DEBITED OUT</t>
  </si>
  <si>
    <t>TOTAL LESS AMOUNT DEBITED OUT</t>
  </si>
  <si>
    <t>TOTAL EXPENDITURE</t>
  </si>
  <si>
    <t>INCOME</t>
  </si>
  <si>
    <t>INTEREST</t>
  </si>
  <si>
    <t>TOTAL INTEREST</t>
  </si>
  <si>
    <t>SUNDRY INCOME</t>
  </si>
  <si>
    <t>TOTAL SUNDRY INCOME</t>
  </si>
  <si>
    <t>TOTAL INCOME</t>
  </si>
  <si>
    <t>SURPLUS/DEFICIT</t>
  </si>
  <si>
    <t>TOTAL CONTRIBUTION TO CAPITAL OUTLAY</t>
  </si>
  <si>
    <t>EXECUTIVE MAYOR</t>
  </si>
  <si>
    <t>Finance Management Grant</t>
  </si>
  <si>
    <t>INTEREST ON INVESTMENT</t>
  </si>
  <si>
    <t>PENSION FUND COUNCIL CONTRIBUTION</t>
  </si>
  <si>
    <t>SPEAKER</t>
  </si>
  <si>
    <t>MAYORAL COMMITTEE</t>
  </si>
  <si>
    <t>MUNICIPAL MANAGER</t>
  </si>
  <si>
    <t>ADVERTISING</t>
  </si>
  <si>
    <t>BANK CHARGES</t>
  </si>
  <si>
    <t>COMPUTOR MAINTENANCE AND SUPPORT</t>
  </si>
  <si>
    <t>CASH COLLECTION SERVICES</t>
  </si>
  <si>
    <t>ENTERTAINMENT</t>
  </si>
  <si>
    <t>FIRST AID STOCK</t>
  </si>
  <si>
    <t>FUEL AND LUBRICANTS</t>
  </si>
  <si>
    <t>INSURANCE</t>
  </si>
  <si>
    <t>HANDY MAN SERVICES</t>
  </si>
  <si>
    <t>LEGAL COST</t>
  </si>
  <si>
    <t>ENGINEERING MEMBERSHIP FEES</t>
  </si>
  <si>
    <t>MEDICAL AID CONTRIBUTION</t>
  </si>
  <si>
    <t>OFFICE RENTAL</t>
  </si>
  <si>
    <t>POST BAG AND POST BOX RENTAL</t>
  </si>
  <si>
    <t>POSTAGE AND STAMPS</t>
  </si>
  <si>
    <t>PROTECTIVE CLOTHING</t>
  </si>
  <si>
    <t>PENSION FUND CONTRIBUTION</t>
  </si>
  <si>
    <t>REFERENCE BOOKS &amp; PERIODICALS</t>
  </si>
  <si>
    <t>TRAVELING AND SUBSISTANCE</t>
  </si>
  <si>
    <t>VEHICLES LICENSES</t>
  </si>
  <si>
    <t>ACTING ALLOWANCE</t>
  </si>
  <si>
    <t>MATERIAL AND STOCK</t>
  </si>
  <si>
    <t>PRINTING AND STATIONERY</t>
  </si>
  <si>
    <t>TELEPHONE</t>
  </si>
  <si>
    <t>SALARIES</t>
  </si>
  <si>
    <t>HOUSING ALLOWANCES</t>
  </si>
  <si>
    <t>MEDICAL FUND COUNCIL CONTRIBUTION</t>
  </si>
  <si>
    <t>OVERTIME</t>
  </si>
  <si>
    <t>TRAVELING ALLOWANCES</t>
  </si>
  <si>
    <t>UNEMPLOYMENT INSURANCE FUND</t>
  </si>
  <si>
    <t>S.A.R.S SKILLS LEVY</t>
  </si>
  <si>
    <t>INDUSTRIAL LEVY</t>
  </si>
  <si>
    <t>EQUIPMENT RENTAL AND SERVICES</t>
  </si>
  <si>
    <t>SUMMARY</t>
  </si>
  <si>
    <t>EHLANZENI DISTRICT MUNICIPALITY</t>
  </si>
  <si>
    <t xml:space="preserve"> </t>
  </si>
  <si>
    <t>A general salary increase of</t>
  </si>
  <si>
    <t>is built in</t>
  </si>
  <si>
    <t>A medical aid increase of</t>
  </si>
  <si>
    <t>INCUMBENT</t>
  </si>
  <si>
    <t>POST</t>
  </si>
  <si>
    <t>TOTAL</t>
  </si>
  <si>
    <t>SALARY</t>
  </si>
  <si>
    <t>PENSION</t>
  </si>
  <si>
    <t>MEDICAL AID</t>
  </si>
  <si>
    <t>HOUSING</t>
  </si>
  <si>
    <t>UIF</t>
  </si>
  <si>
    <t>TRANSPORT</t>
  </si>
  <si>
    <t>INDUSTRIAL</t>
  </si>
  <si>
    <t xml:space="preserve">S A R S </t>
  </si>
  <si>
    <t>LEAVE</t>
  </si>
  <si>
    <t>LEVEL</t>
  </si>
  <si>
    <t>COSTS</t>
  </si>
  <si>
    <t>CONTRIBUTION</t>
  </si>
  <si>
    <t>SUBSIDY</t>
  </si>
  <si>
    <t>ALLOWANCE</t>
  </si>
  <si>
    <t>LEVY</t>
  </si>
  <si>
    <t>SKILLS LEVY</t>
  </si>
  <si>
    <t>BONUS</t>
  </si>
  <si>
    <t>JUNIOR INTERNAL AUDITOR</t>
  </si>
  <si>
    <t>PERSONAL ASSISTANT: EXECUTIVE MAYOR</t>
  </si>
  <si>
    <t>RECORDS MANAGER</t>
  </si>
  <si>
    <t>BURSARIES EMPLOYEES</t>
  </si>
  <si>
    <t>ADMINISTRATION OFFICER</t>
  </si>
  <si>
    <t>NO OF PERSONNEL</t>
  </si>
  <si>
    <t>TOTAL NO OF PERSONNEL</t>
  </si>
  <si>
    <t>OPERATING BUDGET AMOUNTS</t>
  </si>
  <si>
    <t>TEST</t>
  </si>
  <si>
    <t>GENERAL EXPENSES</t>
  </si>
  <si>
    <t>Equitable share</t>
  </si>
  <si>
    <t>Municipal Systems Improvement Grant</t>
  </si>
  <si>
    <t>FUNDS ALLOCATED TO COUNCIL ITO DORA</t>
  </si>
  <si>
    <t>Budget</t>
  </si>
  <si>
    <t>SALARIES WAGES AND ALLOWANCES</t>
  </si>
  <si>
    <t>TOTAL SALARY WAGES AND ALLOWANCES</t>
  </si>
  <si>
    <t>TOTAL GENERAL EXPENSES</t>
  </si>
  <si>
    <t>REPAIR AND MAINTENANCE</t>
  </si>
  <si>
    <t>TOTAL REPAIR AND MAINTENANCE</t>
  </si>
  <si>
    <t>CONTRIBUTION TO CAPITAL OUTLAY</t>
  </si>
  <si>
    <t>TOTAL CONTRIBUTIONS TO CAPITAL OUTLAY</t>
  </si>
  <si>
    <t>CONTRIBUTION TO FUNDS</t>
  </si>
  <si>
    <t>PROFESSIONAL SERVICES</t>
  </si>
  <si>
    <t>MUNICIPAL HEALTH OPERATIONAL COSTS</t>
  </si>
  <si>
    <t>MEMBERSHIP FEES SALGA</t>
  </si>
  <si>
    <t>OFFICE OF THE EXECUTIVE MAYOR</t>
  </si>
  <si>
    <t xml:space="preserve">OFFICE OF THE SPEAKER </t>
  </si>
  <si>
    <t>OFFICE OF THE MUNICIPAL MANAGER</t>
  </si>
  <si>
    <t>BACTERIOLOGICAL TEST</t>
  </si>
  <si>
    <t>ALLOWANCES COUNCILLORS FIXED</t>
  </si>
  <si>
    <t>ALLOWANCES COUNCILLORS TRAVEL</t>
  </si>
  <si>
    <t>ALLOWANCES COUNCILLORS HOUSING</t>
  </si>
  <si>
    <t>OTHER INCOME</t>
  </si>
  <si>
    <t>TOTAL OTHER INCOME</t>
  </si>
  <si>
    <t xml:space="preserve">INTERNAL AUDIT </t>
  </si>
  <si>
    <t>INTERNAL AUDIT</t>
  </si>
  <si>
    <t>DISASTER MANAGEMENT OPERATIONAL COSTS</t>
  </si>
  <si>
    <t>COMMUNITY OUTREACH</t>
  </si>
  <si>
    <t>GENERAL ATTENDANT</t>
  </si>
  <si>
    <t>CONTROL</t>
  </si>
  <si>
    <t>Salaries wages and allowances</t>
  </si>
  <si>
    <t>General expenses</t>
  </si>
  <si>
    <t>Repair and maintenance</t>
  </si>
  <si>
    <t>Contribution to funds</t>
  </si>
  <si>
    <t>Contribution to capital outlay</t>
  </si>
  <si>
    <t>Total expenditure</t>
  </si>
  <si>
    <t>FROM SUMMARY</t>
  </si>
  <si>
    <t>DIFFERENCE</t>
  </si>
  <si>
    <t>ALLOWANCES: APPOINTED COUNCILLORS</t>
  </si>
  <si>
    <t>SKILLS DEVELOPMENT: EMPLOYEES</t>
  </si>
  <si>
    <t>R&amp;M: OFFICE MACHINES AND EQUIPMENT</t>
  </si>
  <si>
    <t>R&amp;M: OFFICE FURNITURE AND EQUIPMENT</t>
  </si>
  <si>
    <t>R&amp;M: FIRE BRIGADE WAGONETTES</t>
  </si>
  <si>
    <t>R&amp;M: VEHICLES</t>
  </si>
  <si>
    <t>CTF: AUDIT FEES</t>
  </si>
  <si>
    <t>CTF: BAD DEBTS</t>
  </si>
  <si>
    <t>CTCO: OFFICE MACHINES &amp; EQUIPMENT</t>
  </si>
  <si>
    <t>CTCO: OFFICE FURNITURE &amp; EQUIPMENT</t>
  </si>
  <si>
    <t>CTCO: VEHICLES</t>
  </si>
  <si>
    <t>CTCO: TOOLS AND ACCESSORIES</t>
  </si>
  <si>
    <t>Project  Costs  exclude  VAT</t>
  </si>
  <si>
    <t>FUNDER</t>
  </si>
  <si>
    <t>Department</t>
  </si>
  <si>
    <t>IDP REVIEW</t>
  </si>
  <si>
    <t>DISTRICT DISASTER MANAGEMENT ADVISORY FORUM</t>
  </si>
  <si>
    <t xml:space="preserve"> TOTAL EXPENDITURE</t>
  </si>
  <si>
    <t>TRADE ZONES</t>
  </si>
  <si>
    <t>MAYOR'S BURSARIES</t>
  </si>
  <si>
    <t>N KGOMO</t>
  </si>
  <si>
    <t>BP MLANGENI</t>
  </si>
  <si>
    <t>LK LESHABA</t>
  </si>
  <si>
    <t>SKILLS DEVELOPMENT LEVY</t>
  </si>
  <si>
    <t>INTEREST ON EXTERNAL LOAN DBSA</t>
  </si>
  <si>
    <t>SKILLS DEVELOPMENT:EMPLOYEES</t>
  </si>
  <si>
    <t>JM NYALUNGA</t>
  </si>
  <si>
    <t>LONG TERM DEVELOPMENT STRATEGY</t>
  </si>
  <si>
    <t>EMPLOYEE ASSISTANCE PROGRAMME</t>
  </si>
  <si>
    <t>VOLUNTEER PROGRAMME</t>
  </si>
  <si>
    <t>AWARENESS CAMPAIGNS</t>
  </si>
  <si>
    <t>INCIDENT COMMAND VEHICLE EQUIPMENT MAINTANANCE</t>
  </si>
  <si>
    <t>TOURISM INDABA</t>
  </si>
  <si>
    <t>REDEMPTION OF LEAVE</t>
  </si>
  <si>
    <t>PLANNING INFORMATION</t>
  </si>
  <si>
    <t>PROFESSIONAL MEMBERSHIP</t>
  </si>
  <si>
    <t>ALLOWANCE INTERN</t>
  </si>
  <si>
    <t>IGR WATER COLLABORATION FORUM</t>
  </si>
  <si>
    <t>National Department Roads &amp; Transport</t>
  </si>
  <si>
    <t>HIV/AIDS MOBILISATION PROGRAMS</t>
  </si>
  <si>
    <t>WATER</t>
  </si>
  <si>
    <t>RATES</t>
  </si>
  <si>
    <t>INTERFACE WITH TRADITIONAL LEADERS</t>
  </si>
  <si>
    <t>MORAL REGENERATION</t>
  </si>
  <si>
    <t>EDM SPEAKERS FORUM</t>
  </si>
  <si>
    <t>CAPACITY BUILDING (COUNCILLORS)</t>
  </si>
  <si>
    <t>BUDGET ANALYST &amp; MONITORING OFFICER</t>
  </si>
  <si>
    <t>S GLADILE</t>
  </si>
  <si>
    <t>N PULUMO</t>
  </si>
  <si>
    <t>GV KLAAS</t>
  </si>
  <si>
    <t>NC MONDLANE</t>
  </si>
  <si>
    <t>GS MKHWANAZI</t>
  </si>
  <si>
    <t>NF MABUZA</t>
  </si>
  <si>
    <t>KD MKHWANAZI</t>
  </si>
  <si>
    <t>SC DLAMINI</t>
  </si>
  <si>
    <t>PV ZULU</t>
  </si>
  <si>
    <t>CT  NGOMANE</t>
  </si>
  <si>
    <t>DRIVER: DISASTER MANAGEMENT</t>
  </si>
  <si>
    <t>Department of Public Works</t>
  </si>
  <si>
    <t>CONFERENCE AND SEMINARS</t>
  </si>
  <si>
    <t>RENTAL:DMC</t>
  </si>
  <si>
    <t>RENTAL:CANTEEN</t>
  </si>
  <si>
    <t>ASSISTANT MANAGER:GIS</t>
  </si>
  <si>
    <t>ADMINISTRATION OFFICER:MUNICIPAL HEALTH</t>
  </si>
  <si>
    <t xml:space="preserve">DEPUTY MANAGER: DISASTER MANAGEMENT </t>
  </si>
  <si>
    <t>DEPUTY MANAGER: HIV AND AIDS</t>
  </si>
  <si>
    <t>DRIVER: EXECUTIVE MAYOR</t>
  </si>
  <si>
    <t>DEPUTY MANAGER: LED AND TOURISM</t>
  </si>
  <si>
    <t>IMPLEMENTATION OF CORPORATE GIS</t>
  </si>
  <si>
    <t>GIS BASELINE ACQUISITION</t>
  </si>
  <si>
    <t>AIR QUALITY MANAGEMENT PLAN</t>
  </si>
  <si>
    <t>DISASTER MANAGEMENT PLAN</t>
  </si>
  <si>
    <t>INDIVIDUAL PMS</t>
  </si>
  <si>
    <t>METRO FM AWARDS</t>
  </si>
  <si>
    <t>PROGRAMMES AND SUPPORT</t>
  </si>
  <si>
    <t>INTEREST CURRENT BANK ACCOUNT</t>
  </si>
  <si>
    <t>KABOKWENI STADIUM</t>
  </si>
  <si>
    <t>PMS OPERATIONAL COSTS-EDM FUNDS</t>
  </si>
  <si>
    <t>INTERST ON CURRENT BANK ACCOUNT</t>
  </si>
  <si>
    <t>KABOKWENI STADIUM 2010</t>
  </si>
  <si>
    <t>S VON BARDELEBEN</t>
  </si>
  <si>
    <t>SMME DEVELOPMENT</t>
  </si>
  <si>
    <t>YOUTH PROGRAMMES</t>
  </si>
  <si>
    <t>DISABILITY PROGRAMMES</t>
  </si>
  <si>
    <t>WOMEN'S COUNCIL DIALOGUE</t>
  </si>
  <si>
    <t xml:space="preserve"> RURAL DEVELOPMENT </t>
  </si>
  <si>
    <t xml:space="preserve">MUNICIPAL HEALTH &amp; ENVIRONMENTAL MANAGEMENT </t>
  </si>
  <si>
    <t>DISASTER MANAGEMENT  &amp; PUBLIC SAFETY</t>
  </si>
  <si>
    <t>MUNICIPAL HEALTH &amp; ENVIRONMENTAL MANAGEMENT</t>
  </si>
  <si>
    <t>SOCIAL SERVICES &amp; TRANSVERSAL PROGRAMMES</t>
  </si>
  <si>
    <t>CHIEF WHIP'S INTERFACE PROGRAMMES</t>
  </si>
  <si>
    <t>DISASTER MANAGEMENT AND PUBLIC SAFETY</t>
  </si>
  <si>
    <t>ADJUSTMENT</t>
  </si>
  <si>
    <t>ALLOWANCE TELEPHONE</t>
  </si>
  <si>
    <t>INSURANCE COUNCIL</t>
  </si>
  <si>
    <t>CTF: DEPRECIATION</t>
  </si>
  <si>
    <t>CTF: PERFOMANCE BONUS</t>
  </si>
  <si>
    <t>AJ DLAMINI</t>
  </si>
  <si>
    <t>ID MOOSA</t>
  </si>
  <si>
    <t>CF SUMAYILI</t>
  </si>
  <si>
    <t>SECURITY:EXECUTIVE MAYOR</t>
  </si>
  <si>
    <t>PF SIBIYA</t>
  </si>
  <si>
    <t>JM NKUNA</t>
  </si>
  <si>
    <t>SP MBOKANE</t>
  </si>
  <si>
    <t>AS MTHETHWA</t>
  </si>
  <si>
    <t>SM MASHEGO</t>
  </si>
  <si>
    <t>DEPUTY MANAGER: OFFICE OF THE SPEAKER</t>
  </si>
  <si>
    <t>VB KHUMALO</t>
  </si>
  <si>
    <t>IL MAKOFANE</t>
  </si>
  <si>
    <t>SECRETARY: MMC - MUNICIPAL HEALTH</t>
  </si>
  <si>
    <t>NPG MDLULI</t>
  </si>
  <si>
    <t>ML NKOSI</t>
  </si>
  <si>
    <t>DEPUTY MANAGER: LEGAL  SERVICES</t>
  </si>
  <si>
    <t>SECRETARY : MANAGER SOCIAL SERVICES</t>
  </si>
  <si>
    <t xml:space="preserve">        3B</t>
  </si>
  <si>
    <t xml:space="preserve">         3B</t>
  </si>
  <si>
    <t>PZ NGOMANE</t>
  </si>
  <si>
    <t>L N NGOMANE</t>
  </si>
  <si>
    <t>NNC SIKONELA</t>
  </si>
  <si>
    <t>FM MOKOENA</t>
  </si>
  <si>
    <t>EC MKHONTO</t>
  </si>
  <si>
    <t>TG NGWENYA</t>
  </si>
  <si>
    <t xml:space="preserve">          4A</t>
  </si>
  <si>
    <t>LP MASHEGO</t>
  </si>
  <si>
    <t>FP BONGWENI</t>
  </si>
  <si>
    <t>TP DLAMINI</t>
  </si>
  <si>
    <t>RS MASANGO</t>
  </si>
  <si>
    <t>HTM MAGAGULA</t>
  </si>
  <si>
    <t>SJ TIBANE</t>
  </si>
  <si>
    <t>MA DIEDERICKS</t>
  </si>
  <si>
    <t>JW BOTHMA</t>
  </si>
  <si>
    <t>GM CHILOANE</t>
  </si>
  <si>
    <t>HO NGOMANE</t>
  </si>
  <si>
    <t>MEC MABASO</t>
  </si>
  <si>
    <t xml:space="preserve">TI MASHABA </t>
  </si>
  <si>
    <t>RURAL DEVELOPMENT OFFICER</t>
  </si>
  <si>
    <t>DEPUTY MANAGER: IT</t>
  </si>
  <si>
    <t>MJ NDLOVU</t>
  </si>
  <si>
    <t>NP MSOMI</t>
  </si>
  <si>
    <t>EPWP COORDINATOR</t>
  </si>
  <si>
    <t>NP MAHLALELA</t>
  </si>
  <si>
    <t>ACTING</t>
  </si>
  <si>
    <t>DEVELOPMENT OF IT STRATEGIC PLAN</t>
  </si>
  <si>
    <t>FACILITY MANAGEMENT SERVICES-MATERIALS</t>
  </si>
  <si>
    <t>RESOURCE &amp; INFORMATION CENTRE</t>
  </si>
  <si>
    <t>LEARNERSHIP PROGRAMMES &amp; INTERNSHIP</t>
  </si>
  <si>
    <t>DISASTER MANAGEMENT EMERGENCY RELIEF</t>
  </si>
  <si>
    <t>EDM CENTRAL IMPROVEMENT DISTRICT</t>
  </si>
  <si>
    <t>SAFETY AMBASSADORS</t>
  </si>
  <si>
    <t>EDM CLEAN UP CAMPAIGN IN ALL LM'S</t>
  </si>
  <si>
    <t>LED OUTREACH PROGRAM BUSINESS DAYS FOR COMMUNITIES</t>
  </si>
  <si>
    <t>GIS SUPPORT TO LM'S</t>
  </si>
  <si>
    <t>CORPORATE GIS SHARED SERVICES</t>
  </si>
  <si>
    <t>INTERGRATION OF GIS SYSTEM WITH BUSINESS SYSTEMS</t>
  </si>
  <si>
    <t>COMMUNITY PROFILING THROUGH RESEARCH</t>
  </si>
  <si>
    <t>AIDS COUNCILS</t>
  </si>
  <si>
    <t>GRANT FROM BARBETON MINES</t>
  </si>
  <si>
    <t>CONDITIONAL GRANTS</t>
  </si>
  <si>
    <t>IT OUTSOURCE AUDIT</t>
  </si>
  <si>
    <t xml:space="preserve">SOCIAL SERVICES </t>
  </si>
  <si>
    <t>PROFESSIONAL FEE</t>
  </si>
  <si>
    <t>IMIMEMO</t>
  </si>
  <si>
    <t>SENIOR SALARY MANAGEMENT OFFICER</t>
  </si>
  <si>
    <t>HANDYMAN</t>
  </si>
  <si>
    <t>GLADYS DUBE</t>
  </si>
  <si>
    <t>SECRETARY: EXECUTIVE MAYOR</t>
  </si>
  <si>
    <t>MENZI MASEKO</t>
  </si>
  <si>
    <t>RISK MANAGEMENT OFFICER</t>
  </si>
  <si>
    <t>S SHABANGU</t>
  </si>
  <si>
    <t>C MDLULI</t>
  </si>
  <si>
    <t>PERSONAL ASSISTANT:MUNICIPAL MANAGER</t>
  </si>
  <si>
    <t>C BRENKMAN</t>
  </si>
  <si>
    <t>SECRETARY : MANAGER MUNICIPAL HEALTH</t>
  </si>
  <si>
    <t>D VAN DER MERWE</t>
  </si>
  <si>
    <t>DEPUTY MANAGER:MUNICIPAL SUPPORT(FINANCE)</t>
  </si>
  <si>
    <t>L BOSHIGO</t>
  </si>
  <si>
    <t>E MAPHANGA</t>
  </si>
  <si>
    <t>SR MHLONGO</t>
  </si>
  <si>
    <t>DIVIDENDS RECEIVED</t>
  </si>
  <si>
    <t>RISK ASSESSMENT</t>
  </si>
  <si>
    <t>CONTRIBUTION TO UIF</t>
  </si>
  <si>
    <t>2015/2016</t>
  </si>
  <si>
    <t>Rural Road Asset Management Systems Grant</t>
  </si>
  <si>
    <t>Energy Efficiency and Demand Side Management Grant</t>
  </si>
  <si>
    <t>RURAL ROAD ASSET MANAGEMENT SYSTEM</t>
  </si>
  <si>
    <t>DISASTER RISK PROFILLING</t>
  </si>
  <si>
    <t>ANNUAL REPORT</t>
  </si>
  <si>
    <t>MINIMUM COMPETENCY</t>
  </si>
  <si>
    <t>DoE</t>
  </si>
  <si>
    <t>ROADS</t>
  </si>
  <si>
    <t>ASSISTANT MANAGER:TRANSERSAL PROGRAMMES</t>
  </si>
  <si>
    <t>MS NTANDANE</t>
  </si>
  <si>
    <t>Z ZULU</t>
  </si>
  <si>
    <t>DEPUTY MANAGER:RURAL DEVELOPMENT &amp; MUNICIPAL SUPPORT</t>
  </si>
  <si>
    <t>DEPUTY MANAGER: INDIVIDUAL PERFOMANCE MANAGEMENT</t>
  </si>
  <si>
    <t>DEPUTY MANAGER:RURAL DEVELOPMENT AND PLANNING</t>
  </si>
  <si>
    <t>DEPUTY MANAGER: DEVELOPMENT PLANNING &amp; DESIGN</t>
  </si>
  <si>
    <t>ASSISTANT PERSONNEL CLERK</t>
  </si>
  <si>
    <t>NS KHOZA</t>
  </si>
  <si>
    <t>T KHOZA</t>
  </si>
  <si>
    <t>CHIEF AUDIT EXECUTIVE</t>
  </si>
  <si>
    <t>ASSISTANT MANAGER:RESEARCH &amp; STRATEGY FORMULTION</t>
  </si>
  <si>
    <t>ASSISTANT MANAGER: IDP</t>
  </si>
  <si>
    <t>DEPUTY MANAGER :IGR</t>
  </si>
  <si>
    <t>B MDAKANE</t>
  </si>
  <si>
    <t>S BONINI</t>
  </si>
  <si>
    <t>RENTAL: ATM STANDARD BANK</t>
  </si>
  <si>
    <t>HEALTH CERTIFICATE</t>
  </si>
  <si>
    <t>RSC INCOME BAD DEBT RECOVERY</t>
  </si>
  <si>
    <t>INTEREST OTHER</t>
  </si>
  <si>
    <t>EQUIPMENT OF LABORATORY</t>
  </si>
  <si>
    <t>VECTOR CONTROL</t>
  </si>
  <si>
    <t>DEPUTY MANAGER: MONITORING AND EVALUATION</t>
  </si>
  <si>
    <t>FINANCIAL SYSTEM UPGRADE</t>
  </si>
  <si>
    <t>SCM COMPLIANCE OFFICER</t>
  </si>
  <si>
    <t>COMPUTER EQUIPMENT</t>
  </si>
  <si>
    <t>MPAC OPERATIONAL COSTS</t>
  </si>
  <si>
    <t>C THELA</t>
  </si>
  <si>
    <t>IPMS CO-ORDINATOR</t>
  </si>
  <si>
    <t>ASSISTANT INTERNAL AUDITOR</t>
  </si>
  <si>
    <t>J NTIMANE</t>
  </si>
  <si>
    <t>ASSITANT MANAGER : PMS</t>
  </si>
  <si>
    <t>IT OFFICER</t>
  </si>
  <si>
    <t>ASSISTANT MANAGER: HUMAN RESOURCE DEVELOPMENT</t>
  </si>
  <si>
    <t>GRAPHIC DESIGNER</t>
  </si>
  <si>
    <t>DEPUTY MANAGER: CIVIL SERVICES</t>
  </si>
  <si>
    <t>ADMIN OFFICER</t>
  </si>
  <si>
    <t>ASSISTANT MANAGER: ADMINISTRATION</t>
  </si>
  <si>
    <t>SKILLS DEVELOPMENT FACILITATOR</t>
  </si>
  <si>
    <t>SECRETARY: MANAGER CORPORATE SERVICES</t>
  </si>
  <si>
    <t>CHIEF TECHNICIAN: ROADS AND TRANSPORT</t>
  </si>
  <si>
    <t>CHIEF TECHNICIAN:WATER,SANITATION AND CIVIL WORKS</t>
  </si>
  <si>
    <t>CHIEF TECHNICIAN:ELECTRICAL</t>
  </si>
  <si>
    <t>ADMIN OFFICER: OFFICE OF THE SPEAKER</t>
  </si>
  <si>
    <t>MRM OFFICER</t>
  </si>
  <si>
    <t>S NKOSI</t>
  </si>
  <si>
    <t>SECRETARY: MANAGER TECHNICAL</t>
  </si>
  <si>
    <t>COUNCIL SECRETARIAT</t>
  </si>
  <si>
    <t>MONITORING &amp; EVALUATION OFFICER</t>
  </si>
  <si>
    <t>SECRETARIAT: MUNICIPAL SUPPORT</t>
  </si>
  <si>
    <t>SENIOR TYPIST</t>
  </si>
  <si>
    <t>TYPIST</t>
  </si>
  <si>
    <t>ADMIN OFFICER:COMMUNICATIONS</t>
  </si>
  <si>
    <t>SENIOR TOURISM OFFICER</t>
  </si>
  <si>
    <t>ASSISTANT MANAGER: TOURISM,RURAL DEVELOPMENT &amp; EPWP</t>
  </si>
  <si>
    <t>ASSISTANT MANAGER:LED &amp; RURAL DEVELOPMENT</t>
  </si>
  <si>
    <t>ADMINISTRATION OFFICER : PMS</t>
  </si>
  <si>
    <t>R8</t>
  </si>
  <si>
    <t>R9</t>
  </si>
  <si>
    <t xml:space="preserve">ACTING </t>
  </si>
  <si>
    <t xml:space="preserve">ASSISTANCE TO LOCAL MUNICIPALITIES </t>
  </si>
  <si>
    <t>R MAKWAKWA</t>
  </si>
  <si>
    <t>S MSOMI</t>
  </si>
  <si>
    <t>G ZULU</t>
  </si>
  <si>
    <t>M NGANDWE</t>
  </si>
  <si>
    <t>N DHLAMINI</t>
  </si>
  <si>
    <t>M MAKUKULE</t>
  </si>
  <si>
    <t>T GOGWANE</t>
  </si>
  <si>
    <t>T SAMBO</t>
  </si>
  <si>
    <t>I MABUZA</t>
  </si>
  <si>
    <t>N VILAKAZI</t>
  </si>
  <si>
    <t>Z MASILELA</t>
  </si>
  <si>
    <t>T KGOPANE</t>
  </si>
  <si>
    <t>DISASTER MANAGEMENT IT &amp; COMMUNICATIONS SYSTEMS TECHNICIAN</t>
  </si>
  <si>
    <t>HUMAN RESOURCE OFFICER</t>
  </si>
  <si>
    <t>B THELA</t>
  </si>
  <si>
    <t>MANAGER: MUNICIPAL HEALTH &amp; ENVIRONMENTAL MANAGEMENT</t>
  </si>
  <si>
    <t>DEPUTY MANAGER: MUNICIPAL HEALTH SERVICES</t>
  </si>
  <si>
    <t>CHIEF ENVIRONMENTAL HEALTH PRACTITIONER</t>
  </si>
  <si>
    <t>R NTUSI</t>
  </si>
  <si>
    <t>G PHASWANA</t>
  </si>
  <si>
    <t>S SALIWA</t>
  </si>
  <si>
    <t>SECRETARY: MMC - DISASTER MANAGEMENT</t>
  </si>
  <si>
    <t>MONITIRING AND EVALUATIONS OFFICER</t>
  </si>
  <si>
    <t>K SEBOTHOMA</t>
  </si>
  <si>
    <t>ADMIN OFFICER : MPAC</t>
  </si>
  <si>
    <t>OCCUPATIONAL HEALTH &amp; SAFETY OFFICER</t>
  </si>
  <si>
    <t>STANDBY ALLOWANCE</t>
  </si>
  <si>
    <t>Dept of Finance (MPU)</t>
  </si>
  <si>
    <t>2017/2018</t>
  </si>
  <si>
    <t>MAKHONJWA HERITAGE SITE</t>
  </si>
  <si>
    <t>DATA CLEANSING</t>
  </si>
  <si>
    <t>PERSONNEL CLERK</t>
  </si>
  <si>
    <t>AN MASINGA</t>
  </si>
  <si>
    <t>FINANCIAL MANAGEMENT AND GRAP (LM'S)</t>
  </si>
  <si>
    <t xml:space="preserve">PUBLIC PARTICIPATION AND CONSULTATION PROCESS </t>
  </si>
  <si>
    <t>INTERN GIS</t>
  </si>
  <si>
    <t>PP MKHONTO</t>
  </si>
  <si>
    <t>GIS  TECHNICIAN</t>
  </si>
  <si>
    <t>AUDIT AND RISK COMMITTEE</t>
  </si>
  <si>
    <t>SECURITY SERVICES</t>
  </si>
  <si>
    <t>MUNICIPAL HEALTH INTERN</t>
  </si>
  <si>
    <t>DWS</t>
  </si>
  <si>
    <t>APPROVED BUDGET</t>
  </si>
  <si>
    <t>ZM KHOZA</t>
  </si>
  <si>
    <t>TM MNDZAWE</t>
  </si>
  <si>
    <t>MT NKOSI</t>
  </si>
  <si>
    <t>ADMIN OFFICER: OFFICE OF THE MM</t>
  </si>
  <si>
    <t>SECRETARY: MMC- CORPORATE SERVICES</t>
  </si>
  <si>
    <t>SECRETARY: MMC- SOCIAL SERVICES</t>
  </si>
  <si>
    <t>OPERATING BUDGET 2016/2017</t>
  </si>
  <si>
    <t>2018/2019</t>
  </si>
  <si>
    <t>REMUNERATION BUDGET FOR 2016/2017</t>
  </si>
  <si>
    <t>2016/2017</t>
  </si>
  <si>
    <t>INTERN</t>
  </si>
  <si>
    <t>MJ NTWAMPE</t>
  </si>
  <si>
    <t>LMT TSOTETSI</t>
  </si>
  <si>
    <t>NE KHOSA</t>
  </si>
  <si>
    <t>ZR MDLULI</t>
  </si>
  <si>
    <t>LP MDLULI</t>
  </si>
  <si>
    <t>N NETSHIMBUPFE</t>
  </si>
  <si>
    <t>AS MKHATSHWA</t>
  </si>
  <si>
    <t>INTERN RISK</t>
  </si>
  <si>
    <t>TI NDHLOVU</t>
  </si>
  <si>
    <t>ADMNISTRATION OFFICER IDP</t>
  </si>
  <si>
    <t>KHOZA KC</t>
  </si>
  <si>
    <t>SECRETARY: MMC - LED &amp; TOURISM</t>
  </si>
  <si>
    <t>WS NYAKANE</t>
  </si>
  <si>
    <t xml:space="preserve">MANAGER: DISASTER MANAGEMENT &amp; SOCIAL SERVICES </t>
  </si>
  <si>
    <t>INTERN FINANCE</t>
  </si>
  <si>
    <t>ES LUKHELE</t>
  </si>
  <si>
    <t>KP LUKHELE</t>
  </si>
  <si>
    <t>CSZ HUTCHINSON</t>
  </si>
  <si>
    <t>SB KHOZA</t>
  </si>
  <si>
    <t>VS NGWENYA</t>
  </si>
  <si>
    <t>M GWALA</t>
  </si>
  <si>
    <t>DEVELOPMENT GRANTS (CAPITAL  PROJECTS)  2016/2017</t>
  </si>
  <si>
    <t>2016/2017 FINANCIAL YEAR</t>
  </si>
  <si>
    <t>R&amp;M: OFFICE BUILDING</t>
  </si>
  <si>
    <t>ENVIRONMENTAL HEALTH PRACTITIONER (NKOMAZI)</t>
  </si>
  <si>
    <t>ENVIRONMENTAL HEALTH PRACTITIONER (WHITE RIVER)</t>
  </si>
  <si>
    <t>ENVIRONMENTAL HEALTH PRACTITIONER (MBOMBELA)</t>
  </si>
  <si>
    <t>ENVIRONMENTAL HEALTH PRACTITIONER (UMJINDI)</t>
  </si>
  <si>
    <t>ENVIRONMENTAL HEALTH PRACTITIONER (THABA CHWEU)</t>
  </si>
  <si>
    <t>ENVIRONMENTAL HEALTH PRACTITIONER (BUSHBUCKRIDGE)</t>
  </si>
  <si>
    <t>BUDGET 2017/18</t>
  </si>
  <si>
    <t>BUDGET 2018/19</t>
  </si>
  <si>
    <t>TM MOKOENA</t>
  </si>
  <si>
    <t>PP MASHABA</t>
  </si>
  <si>
    <t>RECORDS MANAGEMENT SYSTEM</t>
  </si>
  <si>
    <t>DISASTER RESPONSE VEHICLE</t>
  </si>
  <si>
    <t>HEALTHCARE WASTE MANAGEMENT(BLM &amp; TCLM)</t>
  </si>
  <si>
    <t>MSCOA IMPLEMENTATION</t>
  </si>
  <si>
    <t>REVIEW OF SECTOR PLANS</t>
  </si>
  <si>
    <t>PMS SYSTEM</t>
  </si>
  <si>
    <t>PLANNING</t>
  </si>
  <si>
    <t>OFFICE OF THE MM</t>
  </si>
  <si>
    <t>FINANCE</t>
  </si>
  <si>
    <t>MUNICIPAL HEALTH</t>
  </si>
  <si>
    <t>CORPORATE</t>
  </si>
  <si>
    <t>DISASTER MANAGEMENT</t>
  </si>
  <si>
    <t>TECHNICAL</t>
  </si>
  <si>
    <t>UPGRADE OF PIPELINE FROM WTW TO MASHISHING RESERVOIR</t>
  </si>
  <si>
    <t>UPGRADE OF DISASTER MANAGEMENT SYSTEM</t>
  </si>
  <si>
    <t>VEHICLE EDM</t>
  </si>
  <si>
    <t>ELECTRICITY,WATER &amp; RATES</t>
  </si>
  <si>
    <t>MUNICIPAL HEALTH INTERN (COMMUNITY SERVICE EHP)</t>
  </si>
  <si>
    <t>CASTLEKOP WATER PROVISION</t>
  </si>
  <si>
    <t>DRIEKOPPIES BWS</t>
  </si>
  <si>
    <t>SIBANGE BWS</t>
  </si>
  <si>
    <t>\</t>
  </si>
  <si>
    <t>MHLATHIPLAAS WWTW</t>
  </si>
  <si>
    <t>MASHISHING RETICULATION EXT 8 SEWER SUBSTATION CONSTRUCTION</t>
  </si>
  <si>
    <t>MAINTENANCE AND  REFURBISHMENT OF SIGAGULE &amp; CORK PACKAGE PLANTS</t>
  </si>
  <si>
    <t>MAINTENANCE AND  REFURBISHMENT OF BULK SEWER INFRASTRUCTURE</t>
  </si>
  <si>
    <t>INTERGRATED WASTE MANAGEMENT PLAN</t>
  </si>
  <si>
    <t>AS PER COUNCIL RESOLUTION A89/2016</t>
  </si>
  <si>
    <t>APPROVED CAPITAL BUDGET 2016/17</t>
  </si>
  <si>
    <t xml:space="preserve">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</si>
</sst>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R-1C09]\ #,##0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22"/>
      <name val="Arial"/>
      <family val="2"/>
    </font>
    <font>
      <u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C00000"/>
      <name val="Arial"/>
      <family val="2"/>
    </font>
    <font>
      <sz val="10"/>
      <color theme="0" tint="-0.34998626667073579"/>
      <name val="Arial"/>
      <family val="2"/>
    </font>
    <font>
      <sz val="2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165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8">
    <xf numFmtId="165" fontId="0" fillId="0" borderId="0" xfId="0"/>
    <xf numFmtId="49" fontId="3" fillId="0" borderId="0" xfId="0" applyNumberFormat="1" applyFont="1"/>
    <xf numFmtId="165" fontId="3" fillId="0" borderId="0" xfId="0" applyFont="1"/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1" xfId="1" applyNumberFormat="1" applyFont="1" applyBorder="1"/>
    <xf numFmtId="49" fontId="5" fillId="0" borderId="0" xfId="0" applyNumberFormat="1" applyFont="1"/>
    <xf numFmtId="164" fontId="3" fillId="0" borderId="0" xfId="1" applyNumberFormat="1" applyFont="1" applyFill="1"/>
    <xf numFmtId="49" fontId="3" fillId="0" borderId="0" xfId="0" applyNumberFormat="1" applyFont="1" applyFill="1"/>
    <xf numFmtId="165" fontId="3" fillId="0" borderId="0" xfId="0" applyFont="1" applyFill="1"/>
    <xf numFmtId="164" fontId="3" fillId="0" borderId="1" xfId="1" applyNumberFormat="1" applyFont="1" applyFill="1" applyBorder="1"/>
    <xf numFmtId="49" fontId="5" fillId="0" borderId="0" xfId="0" applyNumberFormat="1" applyFont="1" applyFill="1"/>
    <xf numFmtId="164" fontId="3" fillId="0" borderId="0" xfId="1" applyNumberFormat="1" applyFont="1" applyFill="1" applyBorder="1"/>
    <xf numFmtId="43" fontId="3" fillId="0" borderId="0" xfId="1" applyFont="1"/>
    <xf numFmtId="49" fontId="6" fillId="0" borderId="0" xfId="0" applyNumberFormat="1" applyFont="1"/>
    <xf numFmtId="164" fontId="0" fillId="0" borderId="0" xfId="1" applyNumberFormat="1" applyFont="1"/>
    <xf numFmtId="165" fontId="0" fillId="0" borderId="0" xfId="0" applyFill="1"/>
    <xf numFmtId="165" fontId="9" fillId="0" borderId="0" xfId="0" applyFont="1"/>
    <xf numFmtId="165" fontId="10" fillId="0" borderId="0" xfId="0" applyFont="1"/>
    <xf numFmtId="164" fontId="3" fillId="0" borderId="0" xfId="0" applyNumberFormat="1" applyFont="1"/>
    <xf numFmtId="165" fontId="12" fillId="0" borderId="0" xfId="0" applyFont="1"/>
    <xf numFmtId="165" fontId="0" fillId="0" borderId="0" xfId="0" quotePrefix="1" applyFill="1" applyAlignment="1">
      <alignment horizontal="left"/>
    </xf>
    <xf numFmtId="165" fontId="0" fillId="0" borderId="0" xfId="0" applyFill="1" applyAlignment="1">
      <alignment horizontal="left"/>
    </xf>
    <xf numFmtId="165" fontId="13" fillId="0" borderId="0" xfId="0" applyFont="1"/>
    <xf numFmtId="164" fontId="0" fillId="0" borderId="0" xfId="1" applyNumberFormat="1" applyFont="1" applyFill="1"/>
    <xf numFmtId="165" fontId="0" fillId="0" borderId="0" xfId="0" applyFill="1" applyBorder="1"/>
    <xf numFmtId="10" fontId="3" fillId="0" borderId="0" xfId="2" applyNumberFormat="1" applyFont="1"/>
    <xf numFmtId="49" fontId="3" fillId="0" borderId="0" xfId="0" applyNumberFormat="1" applyFont="1" applyBorder="1"/>
    <xf numFmtId="9" fontId="3" fillId="0" borderId="0" xfId="0" applyNumberFormat="1" applyFont="1"/>
    <xf numFmtId="165" fontId="0" fillId="2" borderId="0" xfId="0" applyFill="1"/>
    <xf numFmtId="165" fontId="0" fillId="3" borderId="0" xfId="0" applyFill="1"/>
    <xf numFmtId="43" fontId="3" fillId="0" borderId="0" xfId="0" applyNumberFormat="1" applyFont="1"/>
    <xf numFmtId="165" fontId="0" fillId="0" borderId="0" xfId="0" quotePrefix="1" applyFill="1"/>
    <xf numFmtId="10" fontId="3" fillId="0" borderId="0" xfId="2" applyNumberFormat="1" applyFont="1" applyFill="1"/>
    <xf numFmtId="165" fontId="1" fillId="0" borderId="0" xfId="0" applyFont="1" applyFill="1"/>
    <xf numFmtId="15" fontId="0" fillId="0" borderId="0" xfId="0" applyNumberFormat="1" applyFill="1"/>
    <xf numFmtId="20" fontId="0" fillId="0" borderId="0" xfId="0" applyNumberFormat="1" applyFill="1"/>
    <xf numFmtId="10" fontId="0" fillId="0" borderId="0" xfId="2" applyNumberFormat="1" applyFont="1" applyFill="1"/>
    <xf numFmtId="165" fontId="0" fillId="0" borderId="0" xfId="0" applyFill="1" applyAlignment="1">
      <alignment horizontal="center"/>
    </xf>
    <xf numFmtId="164" fontId="7" fillId="0" borderId="1" xfId="1" applyNumberFormat="1" applyFont="1" applyFill="1" applyBorder="1"/>
    <xf numFmtId="164" fontId="7" fillId="0" borderId="0" xfId="1" applyNumberFormat="1" applyFont="1" applyFill="1" applyBorder="1"/>
    <xf numFmtId="164" fontId="0" fillId="0" borderId="0" xfId="0" applyNumberFormat="1" applyFill="1"/>
    <xf numFmtId="164" fontId="0" fillId="0" borderId="14" xfId="1" applyNumberFormat="1" applyFont="1" applyFill="1" applyBorder="1"/>
    <xf numFmtId="165" fontId="11" fillId="0" borderId="0" xfId="0" applyFont="1" applyFill="1"/>
    <xf numFmtId="165" fontId="12" fillId="0" borderId="0" xfId="0" applyFont="1" applyFill="1"/>
    <xf numFmtId="165" fontId="8" fillId="0" borderId="0" xfId="0" applyFont="1" applyFill="1"/>
    <xf numFmtId="10" fontId="3" fillId="0" borderId="0" xfId="2" applyNumberFormat="1" applyFont="1" applyBorder="1"/>
    <xf numFmtId="165" fontId="3" fillId="0" borderId="0" xfId="0" applyFont="1" applyBorder="1"/>
    <xf numFmtId="165" fontId="5" fillId="0" borderId="0" xfId="0" applyFont="1"/>
    <xf numFmtId="20" fontId="3" fillId="0" borderId="0" xfId="0" applyNumberFormat="1" applyFont="1"/>
    <xf numFmtId="165" fontId="16" fillId="0" borderId="0" xfId="0" applyFont="1" applyFill="1"/>
    <xf numFmtId="165" fontId="0" fillId="0" borderId="0" xfId="0" applyFont="1" applyFill="1"/>
    <xf numFmtId="164" fontId="0" fillId="0" borderId="0" xfId="1" applyNumberFormat="1" applyFont="1" applyFill="1" applyBorder="1"/>
    <xf numFmtId="165" fontId="1" fillId="3" borderId="0" xfId="0" applyFont="1" applyFill="1"/>
    <xf numFmtId="164" fontId="0" fillId="3" borderId="0" xfId="1" applyNumberFormat="1" applyFont="1" applyFill="1"/>
    <xf numFmtId="10" fontId="18" fillId="0" borderId="0" xfId="2" applyNumberFormat="1" applyFont="1"/>
    <xf numFmtId="164" fontId="1" fillId="0" borderId="0" xfId="1" applyNumberFormat="1" applyFont="1" applyFill="1"/>
    <xf numFmtId="164" fontId="1" fillId="3" borderId="0" xfId="1" applyNumberFormat="1" applyFont="1" applyFill="1"/>
    <xf numFmtId="165" fontId="1" fillId="0" borderId="0" xfId="0" applyFont="1" applyFill="1" applyBorder="1"/>
    <xf numFmtId="165" fontId="13" fillId="0" borderId="0" xfId="0" applyFont="1" applyFill="1"/>
    <xf numFmtId="164" fontId="22" fillId="0" borderId="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center" vertical="center"/>
    </xf>
    <xf numFmtId="165" fontId="13" fillId="0" borderId="0" xfId="0" applyFont="1" applyFill="1" applyBorder="1" applyAlignment="1">
      <alignment horizontal="center"/>
    </xf>
    <xf numFmtId="165" fontId="13" fillId="0" borderId="0" xfId="0" applyFont="1" applyFill="1" applyBorder="1"/>
    <xf numFmtId="165" fontId="13" fillId="0" borderId="0" xfId="0" applyFont="1" applyFill="1" applyAlignment="1">
      <alignment horizontal="center" vertical="center"/>
    </xf>
    <xf numFmtId="165" fontId="20" fillId="0" borderId="0" xfId="0" applyFont="1" applyFill="1" applyBorder="1"/>
    <xf numFmtId="164" fontId="6" fillId="0" borderId="0" xfId="1" applyNumberFormat="1" applyFont="1" applyFill="1" applyBorder="1"/>
    <xf numFmtId="164" fontId="13" fillId="0" borderId="0" xfId="1" applyNumberFormat="1" applyFont="1" applyFill="1"/>
    <xf numFmtId="164" fontId="6" fillId="0" borderId="0" xfId="1" applyNumberFormat="1" applyFont="1" applyFill="1"/>
    <xf numFmtId="164" fontId="13" fillId="0" borderId="0" xfId="1" applyNumberFormat="1" applyFont="1" applyFill="1" applyBorder="1"/>
    <xf numFmtId="165" fontId="13" fillId="0" borderId="0" xfId="0" applyFont="1" applyFill="1" applyBorder="1" applyAlignment="1">
      <alignment horizontal="center" vertical="center"/>
    </xf>
    <xf numFmtId="165" fontId="0" fillId="0" borderId="0" xfId="0" applyFill="1" applyBorder="1" applyAlignment="1">
      <alignment horizontal="center" vertical="center"/>
    </xf>
    <xf numFmtId="165" fontId="23" fillId="0" borderId="4" xfId="0" applyFont="1" applyFill="1" applyBorder="1"/>
    <xf numFmtId="165" fontId="13" fillId="0" borderId="2" xfId="0" applyFont="1" applyFill="1" applyBorder="1" applyAlignment="1">
      <alignment horizontal="center"/>
    </xf>
    <xf numFmtId="164" fontId="13" fillId="0" borderId="4" xfId="1" applyNumberFormat="1" applyFont="1" applyFill="1" applyBorder="1"/>
    <xf numFmtId="165" fontId="7" fillId="0" borderId="2" xfId="0" applyFont="1" applyFill="1" applyBorder="1"/>
    <xf numFmtId="164" fontId="13" fillId="0" borderId="2" xfId="1" applyNumberFormat="1" applyFont="1" applyFill="1" applyBorder="1"/>
    <xf numFmtId="164" fontId="13" fillId="0" borderId="2" xfId="1" applyNumberFormat="1" applyFont="1" applyFill="1" applyBorder="1" applyProtection="1">
      <protection locked="0"/>
    </xf>
    <xf numFmtId="165" fontId="13" fillId="0" borderId="2" xfId="0" applyFont="1" applyFill="1" applyBorder="1"/>
    <xf numFmtId="165" fontId="13" fillId="0" borderId="0" xfId="0" applyFont="1" applyFill="1" applyAlignment="1">
      <alignment horizontal="center"/>
    </xf>
    <xf numFmtId="165" fontId="23" fillId="0" borderId="2" xfId="0" applyFont="1" applyFill="1" applyBorder="1"/>
    <xf numFmtId="165" fontId="19" fillId="0" borderId="0" xfId="0" applyFont="1" applyFill="1" applyBorder="1"/>
    <xf numFmtId="164" fontId="7" fillId="0" borderId="2" xfId="1" applyNumberFormat="1" applyFont="1" applyFill="1" applyBorder="1"/>
    <xf numFmtId="165" fontId="14" fillId="0" borderId="2" xfId="0" applyFont="1" applyFill="1" applyBorder="1"/>
    <xf numFmtId="165" fontId="4" fillId="0" borderId="2" xfId="0" applyFont="1" applyFill="1" applyBorder="1"/>
    <xf numFmtId="165" fontId="13" fillId="0" borderId="4" xfId="0" applyFont="1" applyFill="1" applyBorder="1" applyAlignment="1">
      <alignment horizontal="center"/>
    </xf>
    <xf numFmtId="165" fontId="14" fillId="0" borderId="9" xfId="0" applyFont="1" applyFill="1" applyBorder="1"/>
    <xf numFmtId="165" fontId="24" fillId="0" borderId="0" xfId="0" applyFont="1" applyFill="1"/>
    <xf numFmtId="164" fontId="2" fillId="0" borderId="0" xfId="1" applyNumberFormat="1" applyFont="1" applyFill="1"/>
    <xf numFmtId="165" fontId="14" fillId="0" borderId="2" xfId="0" applyFont="1" applyFill="1" applyBorder="1" applyAlignment="1">
      <alignment wrapText="1"/>
    </xf>
    <xf numFmtId="164" fontId="4" fillId="0" borderId="0" xfId="1" applyNumberFormat="1" applyFont="1" applyFill="1"/>
    <xf numFmtId="165" fontId="13" fillId="0" borderId="11" xfId="0" applyFont="1" applyFill="1" applyBorder="1" applyAlignment="1">
      <alignment horizontal="center"/>
    </xf>
    <xf numFmtId="165" fontId="7" fillId="0" borderId="13" xfId="0" applyFont="1" applyFill="1" applyBorder="1" applyAlignment="1">
      <alignment horizontal="center" vertical="center" wrapText="1"/>
    </xf>
    <xf numFmtId="165" fontId="13" fillId="0" borderId="15" xfId="0" applyFont="1" applyFill="1" applyBorder="1" applyAlignment="1">
      <alignment horizontal="center"/>
    </xf>
    <xf numFmtId="164" fontId="13" fillId="0" borderId="15" xfId="1" applyNumberFormat="1" applyFont="1" applyFill="1" applyBorder="1"/>
    <xf numFmtId="165" fontId="4" fillId="0" borderId="9" xfId="0" applyFont="1" applyFill="1" applyBorder="1"/>
    <xf numFmtId="165" fontId="23" fillId="0" borderId="9" xfId="0" applyFont="1" applyFill="1" applyBorder="1"/>
    <xf numFmtId="165" fontId="9" fillId="0" borderId="9" xfId="0" applyFont="1" applyFill="1" applyBorder="1"/>
    <xf numFmtId="165" fontId="13" fillId="0" borderId="16" xfId="0" applyFont="1" applyFill="1" applyBorder="1" applyAlignment="1">
      <alignment horizontal="center"/>
    </xf>
    <xf numFmtId="165" fontId="1" fillId="0" borderId="8" xfId="0" applyFont="1" applyFill="1" applyBorder="1"/>
    <xf numFmtId="164" fontId="13" fillId="0" borderId="7" xfId="1" applyNumberFormat="1" applyFont="1" applyFill="1" applyBorder="1"/>
    <xf numFmtId="164" fontId="15" fillId="0" borderId="6" xfId="1" applyNumberFormat="1" applyFont="1" applyFill="1" applyBorder="1" applyAlignment="1">
      <alignment horizontal="center" vertical="center" wrapText="1"/>
    </xf>
    <xf numFmtId="165" fontId="7" fillId="0" borderId="4" xfId="0" applyFont="1" applyFill="1" applyBorder="1"/>
    <xf numFmtId="165" fontId="13" fillId="0" borderId="3" xfId="0" applyFont="1" applyFill="1" applyBorder="1" applyAlignment="1">
      <alignment horizontal="center"/>
    </xf>
    <xf numFmtId="49" fontId="25" fillId="0" borderId="0" xfId="0" applyNumberFormat="1" applyFont="1"/>
    <xf numFmtId="164" fontId="27" fillId="0" borderId="0" xfId="1" applyNumberFormat="1" applyFont="1" applyFill="1"/>
    <xf numFmtId="164" fontId="26" fillId="0" borderId="0" xfId="1" applyNumberFormat="1" applyFont="1" applyFill="1" applyAlignment="1">
      <alignment horizontal="center" vertical="center"/>
    </xf>
    <xf numFmtId="164" fontId="7" fillId="0" borderId="5" xfId="1" applyNumberFormat="1" applyFont="1" applyFill="1" applyBorder="1"/>
    <xf numFmtId="164" fontId="13" fillId="3" borderId="0" xfId="1" applyNumberFormat="1" applyFont="1" applyFill="1" applyBorder="1"/>
    <xf numFmtId="165" fontId="13" fillId="0" borderId="9" xfId="0" applyFont="1" applyFill="1" applyBorder="1" applyAlignment="1">
      <alignment horizontal="center"/>
    </xf>
    <xf numFmtId="165" fontId="4" fillId="0" borderId="3" xfId="0" applyFont="1" applyFill="1" applyBorder="1"/>
    <xf numFmtId="165" fontId="4" fillId="0" borderId="4" xfId="0" applyFont="1" applyFill="1" applyBorder="1"/>
    <xf numFmtId="165" fontId="4" fillId="0" borderId="10" xfId="0" applyFont="1" applyFill="1" applyBorder="1"/>
    <xf numFmtId="165" fontId="13" fillId="0" borderId="10" xfId="0" applyFont="1" applyFill="1" applyBorder="1" applyAlignment="1">
      <alignment horizontal="center"/>
    </xf>
    <xf numFmtId="165" fontId="12" fillId="0" borderId="10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5" fontId="12" fillId="0" borderId="3" xfId="0" applyFont="1" applyFill="1" applyBorder="1" applyAlignment="1">
      <alignment horizontal="center" vertical="center"/>
    </xf>
    <xf numFmtId="165" fontId="9" fillId="0" borderId="0" xfId="0" applyFont="1" applyFill="1" applyBorder="1"/>
    <xf numFmtId="165" fontId="13" fillId="0" borderId="4" xfId="0" applyFont="1" applyFill="1" applyBorder="1" applyAlignment="1">
      <alignment horizontal="left"/>
    </xf>
    <xf numFmtId="165" fontId="13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4" fontId="13" fillId="0" borderId="2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left" vertical="center"/>
    </xf>
    <xf numFmtId="165" fontId="13" fillId="0" borderId="15" xfId="0" applyFont="1" applyFill="1" applyBorder="1" applyAlignment="1">
      <alignment horizontal="left"/>
    </xf>
    <xf numFmtId="165" fontId="13" fillId="0" borderId="0" xfId="0" applyFont="1" applyFill="1" applyBorder="1" applyAlignment="1">
      <alignment horizontal="left"/>
    </xf>
    <xf numFmtId="165" fontId="13" fillId="0" borderId="5" xfId="0" applyFont="1" applyFill="1" applyBorder="1" applyAlignment="1">
      <alignment horizontal="center"/>
    </xf>
    <xf numFmtId="164" fontId="5" fillId="0" borderId="0" xfId="1" applyNumberFormat="1" applyFont="1" applyFill="1"/>
    <xf numFmtId="165" fontId="13" fillId="2" borderId="0" xfId="0" applyFont="1" applyFill="1" applyBorder="1" applyAlignment="1">
      <alignment horizontal="center"/>
    </xf>
    <xf numFmtId="164" fontId="13" fillId="2" borderId="2" xfId="1" applyNumberFormat="1" applyFont="1" applyFill="1" applyBorder="1" applyProtection="1">
      <protection locked="0"/>
    </xf>
    <xf numFmtId="164" fontId="13" fillId="2" borderId="2" xfId="1" applyNumberFormat="1" applyFont="1" applyFill="1" applyBorder="1"/>
    <xf numFmtId="165" fontId="13" fillId="2" borderId="0" xfId="0" applyFont="1" applyFill="1" applyBorder="1"/>
    <xf numFmtId="165" fontId="0" fillId="2" borderId="0" xfId="0" applyFill="1" applyBorder="1"/>
    <xf numFmtId="165" fontId="13" fillId="2" borderId="2" xfId="0" applyFont="1" applyFill="1" applyBorder="1" applyAlignment="1">
      <alignment horizontal="center"/>
    </xf>
    <xf numFmtId="165" fontId="13" fillId="2" borderId="9" xfId="0" applyFont="1" applyFill="1" applyBorder="1" applyAlignment="1">
      <alignment horizontal="center"/>
    </xf>
    <xf numFmtId="164" fontId="15" fillId="0" borderId="5" xfId="1" applyNumberFormat="1" applyFont="1" applyFill="1" applyBorder="1" applyAlignment="1">
      <alignment horizontal="center" vertical="center" wrapText="1"/>
    </xf>
    <xf numFmtId="165" fontId="9" fillId="0" borderId="0" xfId="0" applyFont="1" applyFill="1" applyBorder="1" applyAlignment="1"/>
    <xf numFmtId="165" fontId="11" fillId="0" borderId="0" xfId="0" applyFont="1" applyFill="1" applyAlignment="1">
      <alignment horizontal="center" vertical="center"/>
    </xf>
    <xf numFmtId="165" fontId="17" fillId="0" borderId="0" xfId="0" applyFont="1" applyFill="1" applyAlignment="1">
      <alignment horizontal="center" vertical="center"/>
    </xf>
    <xf numFmtId="164" fontId="5" fillId="0" borderId="1" xfId="1" applyNumberFormat="1" applyFont="1" applyFill="1" applyBorder="1"/>
    <xf numFmtId="165" fontId="0" fillId="0" borderId="9" xfId="0" applyFill="1" applyBorder="1"/>
    <xf numFmtId="164" fontId="6" fillId="0" borderId="0" xfId="1" applyNumberFormat="1" applyFont="1" applyBorder="1"/>
    <xf numFmtId="10" fontId="6" fillId="0" borderId="0" xfId="2" applyNumberFormat="1" applyFont="1"/>
    <xf numFmtId="165" fontId="6" fillId="0" borderId="0" xfId="0" applyFont="1"/>
    <xf numFmtId="165" fontId="28" fillId="0" borderId="0" xfId="0" applyFont="1" applyFill="1"/>
    <xf numFmtId="165" fontId="29" fillId="0" borderId="0" xfId="0" applyFont="1" applyFill="1"/>
    <xf numFmtId="164" fontId="29" fillId="0" borderId="0" xfId="1" applyNumberFormat="1" applyFont="1" applyFill="1"/>
    <xf numFmtId="164" fontId="29" fillId="0" borderId="0" xfId="1" applyNumberFormat="1" applyFont="1"/>
    <xf numFmtId="165" fontId="29" fillId="2" borderId="0" xfId="0" applyFont="1" applyFill="1"/>
    <xf numFmtId="165" fontId="1" fillId="0" borderId="2" xfId="0" applyFont="1" applyFill="1" applyBorder="1"/>
    <xf numFmtId="165" fontId="1" fillId="2" borderId="2" xfId="0" applyFont="1" applyFill="1" applyBorder="1"/>
    <xf numFmtId="165" fontId="1" fillId="0" borderId="0" xfId="0" applyFont="1"/>
    <xf numFmtId="165" fontId="17" fillId="0" borderId="0" xfId="0" applyFont="1" applyFill="1" applyAlignment="1">
      <alignment horizontal="center" vertical="center" shrinkToFit="1"/>
    </xf>
    <xf numFmtId="164" fontId="3" fillId="5" borderId="0" xfId="1" applyNumberFormat="1" applyFont="1" applyFill="1"/>
    <xf numFmtId="164" fontId="3" fillId="4" borderId="0" xfId="1" applyNumberFormat="1" applyFont="1" applyFill="1"/>
    <xf numFmtId="165" fontId="19" fillId="0" borderId="0" xfId="0" applyFont="1" applyFill="1"/>
    <xf numFmtId="165" fontId="1" fillId="2" borderId="2" xfId="0" applyFont="1" applyFill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5" fontId="5" fillId="0" borderId="0" xfId="0" applyFont="1" applyAlignment="1">
      <alignment horizontal="center"/>
    </xf>
    <xf numFmtId="165" fontId="5" fillId="0" borderId="0" xfId="0" quotePrefix="1" applyFont="1" applyAlignment="1">
      <alignment horizontal="center"/>
    </xf>
    <xf numFmtId="164" fontId="5" fillId="0" borderId="0" xfId="1" quotePrefix="1" applyNumberFormat="1" applyFont="1" applyAlignment="1">
      <alignment horizontal="center"/>
    </xf>
    <xf numFmtId="165" fontId="5" fillId="0" borderId="0" xfId="0" quotePrefix="1" applyFont="1"/>
    <xf numFmtId="164" fontId="5" fillId="0" borderId="0" xfId="1" quotePrefix="1" applyNumberFormat="1" applyFont="1" applyFill="1" applyAlignment="1">
      <alignment horizontal="center"/>
    </xf>
    <xf numFmtId="165" fontId="1" fillId="0" borderId="2" xfId="0" applyFont="1" applyFill="1" applyBorder="1" applyAlignment="1">
      <alignment horizontal="left"/>
    </xf>
    <xf numFmtId="49" fontId="30" fillId="0" borderId="0" xfId="0" applyNumberFormat="1" applyFont="1"/>
    <xf numFmtId="164" fontId="15" fillId="6" borderId="5" xfId="1" applyNumberFormat="1" applyFont="1" applyFill="1" applyBorder="1" applyAlignment="1">
      <alignment horizontal="center" vertical="center" wrapText="1"/>
    </xf>
    <xf numFmtId="164" fontId="13" fillId="6" borderId="15" xfId="1" applyNumberFormat="1" applyFont="1" applyFill="1" applyBorder="1"/>
    <xf numFmtId="164" fontId="13" fillId="6" borderId="4" xfId="1" applyNumberFormat="1" applyFont="1" applyFill="1" applyBorder="1"/>
    <xf numFmtId="164" fontId="13" fillId="6" borderId="2" xfId="1" applyNumberFormat="1" applyFont="1" applyFill="1" applyBorder="1"/>
    <xf numFmtId="164" fontId="7" fillId="6" borderId="5" xfId="1" applyNumberFormat="1" applyFont="1" applyFill="1" applyBorder="1"/>
    <xf numFmtId="164" fontId="7" fillId="6" borderId="2" xfId="1" applyNumberFormat="1" applyFont="1" applyFill="1" applyBorder="1"/>
    <xf numFmtId="164" fontId="4" fillId="6" borderId="3" xfId="1" applyNumberFormat="1" applyFont="1" applyFill="1" applyBorder="1" applyAlignment="1">
      <alignment horizontal="center" vertical="center"/>
    </xf>
    <xf numFmtId="164" fontId="5" fillId="7" borderId="0" xfId="1" applyNumberFormat="1" applyFont="1" applyFill="1"/>
    <xf numFmtId="49" fontId="3" fillId="7" borderId="0" xfId="0" applyNumberFormat="1" applyFont="1" applyFill="1"/>
    <xf numFmtId="165" fontId="1" fillId="7" borderId="0" xfId="0" applyFont="1" applyFill="1"/>
    <xf numFmtId="49" fontId="1" fillId="0" borderId="0" xfId="0" applyNumberFormat="1" applyFont="1" applyFill="1"/>
    <xf numFmtId="165" fontId="31" fillId="0" borderId="0" xfId="0" applyFont="1" applyFill="1" applyBorder="1" applyAlignment="1">
      <alignment horizontal="center" vertical="center"/>
    </xf>
    <xf numFmtId="165" fontId="31" fillId="2" borderId="0" xfId="0" applyFont="1" applyFill="1" applyBorder="1" applyAlignment="1">
      <alignment horizontal="center"/>
    </xf>
    <xf numFmtId="164" fontId="31" fillId="2" borderId="2" xfId="1" applyNumberFormat="1" applyFont="1" applyFill="1" applyBorder="1"/>
    <xf numFmtId="164" fontId="31" fillId="2" borderId="2" xfId="1" applyNumberFormat="1" applyFont="1" applyFill="1" applyBorder="1" applyProtection="1">
      <protection locked="0"/>
    </xf>
    <xf numFmtId="165" fontId="31" fillId="2" borderId="0" xfId="0" applyFont="1" applyFill="1" applyBorder="1"/>
    <xf numFmtId="165" fontId="31" fillId="2" borderId="9" xfId="0" applyFont="1" applyFill="1" applyBorder="1" applyAlignment="1">
      <alignment horizontal="center"/>
    </xf>
    <xf numFmtId="9" fontId="3" fillId="0" borderId="0" xfId="0" applyNumberFormat="1" applyFont="1" applyFill="1"/>
    <xf numFmtId="9" fontId="3" fillId="0" borderId="0" xfId="2" applyFont="1" applyFill="1"/>
    <xf numFmtId="165" fontId="5" fillId="0" borderId="0" xfId="1" quotePrefix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/>
    <xf numFmtId="43" fontId="5" fillId="0" borderId="0" xfId="1" applyFont="1" applyFill="1"/>
    <xf numFmtId="43" fontId="3" fillId="0" borderId="0" xfId="1" applyFont="1" applyFill="1"/>
    <xf numFmtId="165" fontId="5" fillId="0" borderId="0" xfId="0" quotePrefix="1" applyFont="1" applyFill="1" applyAlignment="1">
      <alignment horizontal="center"/>
    </xf>
    <xf numFmtId="164" fontId="20" fillId="0" borderId="0" xfId="1" applyNumberFormat="1" applyFont="1" applyFill="1" applyBorder="1"/>
    <xf numFmtId="164" fontId="1" fillId="2" borderId="2" xfId="1" applyNumberFormat="1" applyFont="1" applyFill="1" applyBorder="1"/>
    <xf numFmtId="164" fontId="5" fillId="7" borderId="1" xfId="1" applyNumberFormat="1" applyFont="1" applyFill="1" applyBorder="1"/>
    <xf numFmtId="164" fontId="1" fillId="2" borderId="2" xfId="1" applyNumberFormat="1" applyFont="1" applyFill="1" applyBorder="1" applyProtection="1">
      <protection locked="0"/>
    </xf>
    <xf numFmtId="164" fontId="13" fillId="8" borderId="2" xfId="1" applyNumberFormat="1" applyFont="1" applyFill="1" applyBorder="1"/>
    <xf numFmtId="165" fontId="13" fillId="8" borderId="2" xfId="0" applyFont="1" applyFill="1" applyBorder="1" applyAlignment="1">
      <alignment horizontal="center"/>
    </xf>
    <xf numFmtId="165" fontId="13" fillId="8" borderId="0" xfId="0" applyFont="1" applyFill="1" applyBorder="1" applyAlignment="1">
      <alignment horizontal="center"/>
    </xf>
    <xf numFmtId="9" fontId="3" fillId="9" borderId="0" xfId="0" applyNumberFormat="1" applyFont="1" applyFill="1"/>
    <xf numFmtId="165" fontId="5" fillId="9" borderId="0" xfId="0" applyFont="1" applyFill="1"/>
    <xf numFmtId="15" fontId="5" fillId="9" borderId="0" xfId="0" applyNumberFormat="1" applyFont="1" applyFill="1"/>
    <xf numFmtId="165" fontId="5" fillId="9" borderId="0" xfId="0" applyFont="1" applyFill="1" applyAlignment="1">
      <alignment horizontal="center"/>
    </xf>
    <xf numFmtId="165" fontId="5" fillId="9" borderId="0" xfId="0" quotePrefix="1" applyFont="1" applyFill="1" applyAlignment="1">
      <alignment horizontal="center"/>
    </xf>
    <xf numFmtId="164" fontId="5" fillId="9" borderId="0" xfId="1" applyNumberFormat="1" applyFont="1" applyFill="1"/>
    <xf numFmtId="164" fontId="5" fillId="9" borderId="1" xfId="1" applyNumberFormat="1" applyFont="1" applyFill="1" applyBorder="1"/>
    <xf numFmtId="164" fontId="5" fillId="9" borderId="0" xfId="1" applyNumberFormat="1" applyFont="1" applyFill="1" applyBorder="1"/>
    <xf numFmtId="43" fontId="5" fillId="9" borderId="0" xfId="1" applyFont="1" applyFill="1"/>
    <xf numFmtId="164" fontId="5" fillId="9" borderId="0" xfId="1" applyNumberFormat="1" applyFont="1" applyFill="1" applyAlignment="1">
      <alignment horizontal="center"/>
    </xf>
    <xf numFmtId="165" fontId="5" fillId="9" borderId="0" xfId="0" quotePrefix="1" applyFont="1" applyFill="1"/>
    <xf numFmtId="9" fontId="5" fillId="9" borderId="0" xfId="2" applyFont="1" applyFill="1"/>
    <xf numFmtId="164" fontId="5" fillId="9" borderId="0" xfId="1" quotePrefix="1" applyNumberFormat="1" applyFont="1" applyFill="1" applyAlignment="1">
      <alignment horizontal="center"/>
    </xf>
    <xf numFmtId="164" fontId="6" fillId="9" borderId="0" xfId="1" applyNumberFormat="1" applyFont="1" applyFill="1" applyBorder="1"/>
    <xf numFmtId="165" fontId="5" fillId="9" borderId="0" xfId="0" applyFont="1" applyFill="1" applyBorder="1"/>
    <xf numFmtId="164" fontId="0" fillId="7" borderId="0" xfId="1" applyNumberFormat="1" applyFont="1" applyFill="1"/>
    <xf numFmtId="164" fontId="5" fillId="0" borderId="1" xfId="1" applyNumberFormat="1" applyFont="1" applyBorder="1"/>
    <xf numFmtId="10" fontId="32" fillId="0" borderId="0" xfId="2" applyNumberFormat="1" applyFont="1"/>
    <xf numFmtId="165" fontId="32" fillId="0" borderId="0" xfId="0" applyFont="1"/>
    <xf numFmtId="164" fontId="3" fillId="7" borderId="0" xfId="1" applyNumberFormat="1" applyFont="1" applyFill="1"/>
    <xf numFmtId="164" fontId="33" fillId="0" borderId="2" xfId="1" applyNumberFormat="1" applyFont="1" applyFill="1" applyBorder="1"/>
    <xf numFmtId="165" fontId="31" fillId="0" borderId="0" xfId="0" applyFont="1" applyFill="1"/>
    <xf numFmtId="164" fontId="31" fillId="0" borderId="0" xfId="1" applyNumberFormat="1" applyFont="1" applyFill="1"/>
    <xf numFmtId="164" fontId="31" fillId="0" borderId="0" xfId="1" applyNumberFormat="1" applyFont="1"/>
    <xf numFmtId="165" fontId="31" fillId="0" borderId="0" xfId="0" applyFont="1"/>
    <xf numFmtId="165" fontId="31" fillId="2" borderId="0" xfId="0" applyFont="1" applyFill="1"/>
    <xf numFmtId="165" fontId="1" fillId="8" borderId="2" xfId="0" applyFont="1" applyFill="1" applyBorder="1"/>
    <xf numFmtId="165" fontId="1" fillId="2" borderId="0" xfId="0" applyFont="1" applyFill="1"/>
    <xf numFmtId="164" fontId="31" fillId="0" borderId="2" xfId="1" applyNumberFormat="1" applyFont="1" applyFill="1" applyBorder="1"/>
    <xf numFmtId="165" fontId="1" fillId="0" borderId="0" xfId="0" applyFont="1" applyFill="1" applyAlignment="1">
      <alignment horizontal="right"/>
    </xf>
    <xf numFmtId="165" fontId="0" fillId="0" borderId="0" xfId="0" applyFill="1" applyAlignment="1">
      <alignment horizontal="right"/>
    </xf>
    <xf numFmtId="165" fontId="34" fillId="0" borderId="0" xfId="0" applyFont="1" applyFill="1" applyBorder="1" applyAlignment="1">
      <alignment horizontal="center"/>
    </xf>
    <xf numFmtId="9" fontId="5" fillId="0" borderId="0" xfId="2" applyFont="1" applyFill="1" applyAlignment="1">
      <alignment horizontal="center"/>
    </xf>
    <xf numFmtId="164" fontId="5" fillId="7" borderId="0" xfId="1" applyNumberFormat="1" applyFont="1" applyFill="1" applyBorder="1"/>
    <xf numFmtId="165" fontId="13" fillId="7" borderId="0" xfId="0" applyFont="1" applyFill="1" applyBorder="1" applyAlignment="1">
      <alignment horizontal="center" vertical="center"/>
    </xf>
    <xf numFmtId="165" fontId="1" fillId="7" borderId="2" xfId="0" applyFont="1" applyFill="1" applyBorder="1"/>
    <xf numFmtId="165" fontId="13" fillId="7" borderId="9" xfId="0" applyFont="1" applyFill="1" applyBorder="1" applyAlignment="1">
      <alignment horizontal="center"/>
    </xf>
    <xf numFmtId="164" fontId="13" fillId="7" borderId="2" xfId="1" applyNumberFormat="1" applyFont="1" applyFill="1" applyBorder="1"/>
    <xf numFmtId="164" fontId="13" fillId="7" borderId="2" xfId="1" applyNumberFormat="1" applyFont="1" applyFill="1" applyBorder="1" applyProtection="1">
      <protection locked="0"/>
    </xf>
    <xf numFmtId="165" fontId="1" fillId="7" borderId="2" xfId="0" applyFont="1" applyFill="1" applyBorder="1" applyAlignment="1">
      <alignment horizontal="left"/>
    </xf>
    <xf numFmtId="165" fontId="13" fillId="7" borderId="0" xfId="0" applyFont="1" applyFill="1" applyBorder="1"/>
    <xf numFmtId="165" fontId="0" fillId="7" borderId="0" xfId="0" applyFill="1" applyBorder="1"/>
    <xf numFmtId="164" fontId="1" fillId="6" borderId="2" xfId="1" applyNumberFormat="1" applyFont="1" applyFill="1" applyBorder="1"/>
    <xf numFmtId="164" fontId="5" fillId="9" borderId="0" xfId="1" applyNumberFormat="1" applyFont="1" applyFill="1" applyAlignment="1"/>
    <xf numFmtId="164" fontId="5" fillId="0" borderId="0" xfId="1" applyNumberFormat="1" applyFont="1" applyFill="1" applyBorder="1" applyAlignment="1">
      <alignment horizontal="center"/>
    </xf>
    <xf numFmtId="164" fontId="5" fillId="9" borderId="0" xfId="1" applyNumberFormat="1" applyFont="1" applyFill="1" applyBorder="1" applyAlignment="1">
      <alignment horizontal="center"/>
    </xf>
    <xf numFmtId="165" fontId="1" fillId="0" borderId="0" xfId="0" quotePrefix="1" applyFont="1" applyFill="1"/>
    <xf numFmtId="165" fontId="31" fillId="0" borderId="0" xfId="0" applyFont="1" applyFill="1" applyAlignment="1">
      <alignment horizontal="left"/>
    </xf>
    <xf numFmtId="164" fontId="29" fillId="7" borderId="0" xfId="1" applyNumberFormat="1" applyFont="1" applyFill="1"/>
    <xf numFmtId="165" fontId="29" fillId="0" borderId="0" xfId="0" applyFont="1"/>
    <xf numFmtId="164" fontId="36" fillId="9" borderId="0" xfId="1" applyNumberFormat="1" applyFont="1" applyFill="1"/>
    <xf numFmtId="164" fontId="37" fillId="9" borderId="0" xfId="1" applyNumberFormat="1" applyFont="1" applyFill="1"/>
    <xf numFmtId="164" fontId="1" fillId="0" borderId="2" xfId="1" applyNumberFormat="1" applyFont="1" applyFill="1" applyBorder="1"/>
    <xf numFmtId="164" fontId="15" fillId="0" borderId="8" xfId="1" applyNumberFormat="1" applyFont="1" applyFill="1" applyBorder="1" applyAlignment="1">
      <alignment horizontal="center" vertical="center" wrapText="1"/>
    </xf>
    <xf numFmtId="164" fontId="15" fillId="0" borderId="15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center" vertical="center" wrapText="1"/>
    </xf>
    <xf numFmtId="165" fontId="21" fillId="0" borderId="0" xfId="0" applyFont="1" applyFill="1" applyBorder="1" applyAlignment="1">
      <alignment horizontal="left"/>
    </xf>
    <xf numFmtId="165" fontId="13" fillId="0" borderId="12" xfId="0" applyFont="1" applyFill="1" applyBorder="1" applyAlignment="1">
      <alignment horizontal="center" vertical="center"/>
    </xf>
    <xf numFmtId="164" fontId="15" fillId="0" borderId="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5" fontId="15" fillId="0" borderId="4" xfId="0" applyFont="1" applyFill="1" applyBorder="1" applyAlignment="1">
      <alignment horizontal="center" vertical="center"/>
    </xf>
    <xf numFmtId="165" fontId="15" fillId="0" borderId="3" xfId="0" applyFont="1" applyFill="1" applyBorder="1" applyAlignment="1">
      <alignment horizontal="center" vertical="center"/>
    </xf>
    <xf numFmtId="165" fontId="9" fillId="0" borderId="0" xfId="0" applyFont="1" applyFill="1" applyBorder="1" applyAlignment="1"/>
    <xf numFmtId="165" fontId="21" fillId="0" borderId="0" xfId="0" applyFont="1" applyFill="1" applyAlignment="1">
      <alignment horizontal="left" vertical="center" wrapText="1"/>
    </xf>
    <xf numFmtId="165" fontId="35" fillId="0" borderId="0" xfId="0" applyFont="1" applyFill="1" applyAlignment="1">
      <alignment horizontal="left" vertical="center" wrapText="1"/>
    </xf>
    <xf numFmtId="165" fontId="35" fillId="0" borderId="0" xfId="0" applyFont="1" applyAlignment="1">
      <alignment horizontal="left" vertical="center" wrapText="1"/>
    </xf>
    <xf numFmtId="165" fontId="21" fillId="0" borderId="0" xfId="0" applyFont="1" applyFill="1" applyAlignment="1">
      <alignment horizontal="center" vertical="center" wrapText="1"/>
    </xf>
    <xf numFmtId="165" fontId="35" fillId="0" borderId="0" xfId="0" applyFont="1" applyFill="1" applyAlignment="1">
      <alignment horizontal="center" vertical="center" wrapText="1"/>
    </xf>
    <xf numFmtId="165" fontId="35" fillId="0" borderId="0" xfId="0" applyFont="1" applyAlignment="1">
      <alignment horizontal="center" vertical="center" wrapText="1"/>
    </xf>
    <xf numFmtId="165" fontId="11" fillId="0" borderId="0" xfId="0" applyFont="1" applyFill="1" applyAlignment="1">
      <alignment horizontal="center" vertical="center" shrinkToFit="1"/>
    </xf>
    <xf numFmtId="165" fontId="17" fillId="0" borderId="0" xfId="0" applyFont="1" applyFill="1" applyAlignment="1">
      <alignment horizontal="center" vertical="center" shrinkToFi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DH310"/>
  <sheetViews>
    <sheetView view="pageBreakPreview" topLeftCell="A63" zoomScale="70" zoomScaleNormal="65" zoomScaleSheetLayoutView="70" zoomScalePageLayoutView="65" workbookViewId="0">
      <selection activeCell="G71" sqref="G71"/>
    </sheetView>
  </sheetViews>
  <sheetFormatPr baseColWidth="10" defaultColWidth="8.83203125" defaultRowHeight="13" x14ac:dyDescent="0.15"/>
  <cols>
    <col min="1" max="1" width="62.5" style="16" customWidth="1"/>
    <col min="2" max="2" width="7.5" style="16" bestFit="1" customWidth="1"/>
    <col min="3" max="3" width="16.83203125" style="16" customWidth="1"/>
    <col min="4" max="4" width="8.83203125" style="16" customWidth="1"/>
    <col min="5" max="12" width="14.6640625" style="16" customWidth="1"/>
    <col min="13" max="13" width="15.83203125" style="16" customWidth="1"/>
    <col min="14" max="15" width="14.6640625" style="16" customWidth="1"/>
    <col min="16" max="16" width="10.33203125" style="24" bestFit="1" customWidth="1"/>
    <col min="17" max="112" width="8.83203125" style="16"/>
  </cols>
  <sheetData>
    <row r="1" spans="1:16" ht="20" x14ac:dyDescent="0.2">
      <c r="A1" s="44"/>
    </row>
    <row r="2" spans="1:16" ht="20" x14ac:dyDescent="0.2">
      <c r="A2" s="50"/>
    </row>
    <row r="3" spans="1:16" ht="28" x14ac:dyDescent="0.3">
      <c r="A3" s="43" t="s">
        <v>207</v>
      </c>
      <c r="F3" s="50"/>
      <c r="G3" s="50"/>
    </row>
    <row r="4" spans="1:16" ht="20" x14ac:dyDescent="0.2">
      <c r="A4" s="44" t="s">
        <v>582</v>
      </c>
      <c r="G4" s="35">
        <f ca="1">NOW()</f>
        <v>42983.720436111114</v>
      </c>
    </row>
    <row r="5" spans="1:16" x14ac:dyDescent="0.15">
      <c r="G5" s="36">
        <f ca="1">NOW()</f>
        <v>42983.720436111114</v>
      </c>
    </row>
    <row r="6" spans="1:16" x14ac:dyDescent="0.15">
      <c r="A6" s="16" t="s">
        <v>209</v>
      </c>
      <c r="B6" s="37">
        <v>7.0000000000000007E-2</v>
      </c>
      <c r="C6" s="16" t="s">
        <v>210</v>
      </c>
    </row>
    <row r="7" spans="1:16" x14ac:dyDescent="0.15">
      <c r="A7" s="16" t="s">
        <v>211</v>
      </c>
      <c r="B7" s="37">
        <v>7.0000000000000007E-2</v>
      </c>
      <c r="C7" s="16" t="s">
        <v>210</v>
      </c>
    </row>
    <row r="12" spans="1:16" x14ac:dyDescent="0.15">
      <c r="A12" s="45" t="s">
        <v>166</v>
      </c>
    </row>
    <row r="13" spans="1:16" x14ac:dyDescent="0.15">
      <c r="C13" s="16" t="s">
        <v>212</v>
      </c>
      <c r="D13" s="38" t="s">
        <v>213</v>
      </c>
      <c r="E13" s="38" t="s">
        <v>214</v>
      </c>
      <c r="F13" s="38" t="s">
        <v>215</v>
      </c>
      <c r="G13" s="38" t="s">
        <v>216</v>
      </c>
      <c r="H13" s="38" t="s">
        <v>217</v>
      </c>
      <c r="I13" s="38" t="s">
        <v>218</v>
      </c>
      <c r="J13" s="38" t="s">
        <v>219</v>
      </c>
      <c r="K13" s="38" t="s">
        <v>220</v>
      </c>
      <c r="L13" s="38" t="s">
        <v>221</v>
      </c>
      <c r="M13" s="38" t="s">
        <v>222</v>
      </c>
      <c r="N13" s="38" t="s">
        <v>223</v>
      </c>
      <c r="O13" s="38"/>
      <c r="P13" s="56" t="s">
        <v>200</v>
      </c>
    </row>
    <row r="14" spans="1:16" x14ac:dyDescent="0.15">
      <c r="A14" s="34"/>
      <c r="D14" s="38" t="s">
        <v>224</v>
      </c>
      <c r="E14" s="38" t="s">
        <v>225</v>
      </c>
      <c r="F14" s="38"/>
      <c r="G14" s="38" t="s">
        <v>226</v>
      </c>
      <c r="H14" s="38" t="s">
        <v>226</v>
      </c>
      <c r="I14" s="38" t="s">
        <v>227</v>
      </c>
      <c r="J14" s="38"/>
      <c r="K14" s="38" t="s">
        <v>228</v>
      </c>
      <c r="L14" s="38" t="s">
        <v>229</v>
      </c>
      <c r="M14" s="38" t="s">
        <v>230</v>
      </c>
      <c r="N14" s="38" t="s">
        <v>231</v>
      </c>
      <c r="O14" s="38"/>
    </row>
    <row r="15" spans="1:16" s="25" customFormat="1" x14ac:dyDescent="0.15">
      <c r="A15" s="34" t="s">
        <v>233</v>
      </c>
      <c r="C15" s="58" t="s">
        <v>35</v>
      </c>
      <c r="D15" s="25">
        <v>2</v>
      </c>
      <c r="E15" s="24">
        <f>SUM(F15:P15)</f>
        <v>966800.57564166677</v>
      </c>
      <c r="F15" s="24">
        <f>533543*(B$6+1)</f>
        <v>570891.01</v>
      </c>
      <c r="G15" s="24">
        <f t="shared" ref="G15:G19" si="0">F15*0.22</f>
        <v>125596.02220000001</v>
      </c>
      <c r="H15" s="24">
        <f>3871*(B$7+1)*12</f>
        <v>49703.64</v>
      </c>
      <c r="I15" s="24">
        <f>700*12</f>
        <v>8400</v>
      </c>
      <c r="J15" s="15">
        <v>1926</v>
      </c>
      <c r="K15" s="67">
        <f>12900*12</f>
        <v>154800</v>
      </c>
      <c r="L15" s="24">
        <v>93</v>
      </c>
      <c r="M15" s="24">
        <f t="shared" ref="M15:M19" si="1">(N15+I15+K15+F15)*0.01</f>
        <v>7816.6526083333338</v>
      </c>
      <c r="N15" s="24">
        <f t="shared" ref="N15:N19" si="2">F15/12</f>
        <v>47574.250833333332</v>
      </c>
      <c r="O15" s="24"/>
      <c r="P15" s="52"/>
    </row>
    <row r="16" spans="1:16" x14ac:dyDescent="0.15">
      <c r="A16" s="34" t="s">
        <v>346</v>
      </c>
      <c r="B16" s="22"/>
      <c r="C16" s="16" t="s">
        <v>377</v>
      </c>
      <c r="D16" s="16">
        <v>9</v>
      </c>
      <c r="E16" s="24">
        <f t="shared" ref="E16:E21" si="3">SUM(F16:P16)</f>
        <v>363852.47050000005</v>
      </c>
      <c r="F16" s="24">
        <f>215940*(B$6+1)</f>
        <v>231055.80000000002</v>
      </c>
      <c r="G16" s="24">
        <f t="shared" si="0"/>
        <v>50832.276000000005</v>
      </c>
      <c r="H16" s="24">
        <f>3871*(B$7+1)*12</f>
        <v>49703.64</v>
      </c>
      <c r="I16" s="24">
        <f t="shared" ref="I16:I18" si="4">700*12</f>
        <v>8400</v>
      </c>
      <c r="J16" s="15">
        <v>1926</v>
      </c>
      <c r="K16" s="24"/>
      <c r="L16" s="24">
        <v>93</v>
      </c>
      <c r="M16" s="24">
        <f>(N16+I16+K16+F16)*0.01</f>
        <v>2587.1045000000004</v>
      </c>
      <c r="N16" s="24">
        <f t="shared" si="2"/>
        <v>19254.650000000001</v>
      </c>
      <c r="O16" s="24"/>
    </row>
    <row r="17" spans="1:112" x14ac:dyDescent="0.15">
      <c r="A17" s="34" t="s">
        <v>380</v>
      </c>
      <c r="B17" s="22"/>
      <c r="C17" s="16" t="s">
        <v>379</v>
      </c>
      <c r="D17" s="16">
        <v>9</v>
      </c>
      <c r="E17" s="24">
        <f t="shared" ref="E17" si="5">SUM(F17:P17)</f>
        <v>363852.47050000005</v>
      </c>
      <c r="F17" s="24">
        <f>215940*(B$6+1)</f>
        <v>231055.80000000002</v>
      </c>
      <c r="G17" s="24">
        <f t="shared" ref="G17:G18" si="6">F17*0.22</f>
        <v>50832.276000000005</v>
      </c>
      <c r="H17" s="24">
        <f>3871*(B$7+1)*12</f>
        <v>49703.64</v>
      </c>
      <c r="I17" s="24">
        <f t="shared" si="4"/>
        <v>8400</v>
      </c>
      <c r="J17" s="15">
        <v>1926</v>
      </c>
      <c r="K17" s="24"/>
      <c r="L17" s="24">
        <v>93</v>
      </c>
      <c r="M17" s="24">
        <f>(N17+I17+K17+F17)*0.01</f>
        <v>2587.1045000000004</v>
      </c>
      <c r="N17" s="24">
        <f t="shared" ref="N17:N18" si="7">F17/12</f>
        <v>19254.650000000001</v>
      </c>
      <c r="O17" s="24"/>
    </row>
    <row r="18" spans="1:112" s="221" customFormat="1" x14ac:dyDescent="0.15">
      <c r="A18" s="218" t="s">
        <v>506</v>
      </c>
      <c r="B18" s="244"/>
      <c r="C18" s="218" t="s">
        <v>35</v>
      </c>
      <c r="D18" s="218">
        <v>8</v>
      </c>
      <c r="E18" s="219">
        <f t="shared" ref="E18" si="8">SUM(F18:P18)</f>
        <v>397377.43854166666</v>
      </c>
      <c r="F18" s="24">
        <f t="shared" ref="F18" si="9">244475*(B$6+1)</f>
        <v>261588.25000000003</v>
      </c>
      <c r="G18" s="219">
        <f t="shared" si="6"/>
        <v>57549.415000000008</v>
      </c>
      <c r="H18" s="219">
        <f t="shared" ref="H18" si="10">3357*(B$7+1)*12</f>
        <v>43103.880000000005</v>
      </c>
      <c r="I18" s="24">
        <f t="shared" si="4"/>
        <v>8400</v>
      </c>
      <c r="J18" s="15">
        <v>1926</v>
      </c>
      <c r="K18" s="219"/>
      <c r="L18" s="24">
        <v>93</v>
      </c>
      <c r="M18" s="219">
        <f t="shared" ref="M18" si="11">(N18+I18+K18+F18)*0.01</f>
        <v>2917.8727083333338</v>
      </c>
      <c r="N18" s="219">
        <f t="shared" si="7"/>
        <v>21799.020833333336</v>
      </c>
      <c r="O18" s="219"/>
      <c r="P18" s="219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</row>
    <row r="19" spans="1:112" x14ac:dyDescent="0.15">
      <c r="A19" s="34" t="s">
        <v>445</v>
      </c>
      <c r="C19" s="16" t="s">
        <v>403</v>
      </c>
      <c r="D19" s="16">
        <v>5</v>
      </c>
      <c r="E19" s="24">
        <f t="shared" ref="E19:E20" si="12">SUM(F19:P19)</f>
        <v>681982.23073333327</v>
      </c>
      <c r="F19" s="24">
        <f>359992*(B$6+1)</f>
        <v>385191.44</v>
      </c>
      <c r="G19" s="24">
        <f t="shared" si="0"/>
        <v>84742.116800000003</v>
      </c>
      <c r="H19" s="24">
        <f t="shared" ref="H19" si="13">3357*(B$7+1)*12</f>
        <v>43103.880000000005</v>
      </c>
      <c r="I19" s="24">
        <f>700*12</f>
        <v>8400</v>
      </c>
      <c r="J19" s="15">
        <v>1926</v>
      </c>
      <c r="K19" s="24">
        <f>10080*12</f>
        <v>120960</v>
      </c>
      <c r="L19" s="24">
        <v>93</v>
      </c>
      <c r="M19" s="24">
        <f t="shared" si="1"/>
        <v>5466.5072666666665</v>
      </c>
      <c r="N19" s="24">
        <f t="shared" si="2"/>
        <v>32099.286666666667</v>
      </c>
      <c r="O19" s="24"/>
    </row>
    <row r="20" spans="1:112" s="29" customFormat="1" x14ac:dyDescent="0.15">
      <c r="A20" s="16" t="s">
        <v>372</v>
      </c>
      <c r="B20" s="16"/>
      <c r="C20" s="16"/>
      <c r="D20" s="16"/>
      <c r="E20" s="24">
        <f t="shared" si="12"/>
        <v>0</v>
      </c>
      <c r="F20" s="24"/>
      <c r="G20" s="24"/>
      <c r="H20" s="24"/>
      <c r="I20" s="24"/>
      <c r="J20" s="15"/>
      <c r="K20" s="24"/>
      <c r="L20" s="24"/>
      <c r="M20" s="24"/>
      <c r="N20" s="24"/>
      <c r="O20" s="24"/>
      <c r="P20" s="2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</row>
    <row r="21" spans="1:112" s="29" customFormat="1" x14ac:dyDescent="0.15">
      <c r="A21" s="51" t="s">
        <v>200</v>
      </c>
      <c r="B21" s="16"/>
      <c r="C21" s="51" t="s">
        <v>200</v>
      </c>
      <c r="D21" s="16"/>
      <c r="E21" s="24">
        <f t="shared" si="3"/>
        <v>104800</v>
      </c>
      <c r="F21" s="24"/>
      <c r="G21" s="24"/>
      <c r="H21" s="24"/>
      <c r="I21" s="24"/>
      <c r="J21" s="15"/>
      <c r="K21" s="24"/>
      <c r="L21" s="24"/>
      <c r="M21" s="24"/>
      <c r="N21" s="24"/>
      <c r="O21" s="24"/>
      <c r="P21" s="24">
        <v>104800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</row>
    <row r="22" spans="1:112" ht="14" thickBot="1" x14ac:dyDescent="0.2">
      <c r="E22" s="39">
        <f t="shared" ref="E22:N22" si="14">SUM(E15:E21)</f>
        <v>2878665.1859166669</v>
      </c>
      <c r="F22" s="39">
        <f t="shared" si="14"/>
        <v>1679782.3</v>
      </c>
      <c r="G22" s="39">
        <f t="shared" si="14"/>
        <v>369552.10600000009</v>
      </c>
      <c r="H22" s="39">
        <f t="shared" si="14"/>
        <v>235318.68</v>
      </c>
      <c r="I22" s="39">
        <f t="shared" si="14"/>
        <v>42000</v>
      </c>
      <c r="J22" s="39">
        <f t="shared" si="14"/>
        <v>9630</v>
      </c>
      <c r="K22" s="39">
        <f t="shared" si="14"/>
        <v>275760</v>
      </c>
      <c r="L22" s="39">
        <f t="shared" si="14"/>
        <v>465</v>
      </c>
      <c r="M22" s="39">
        <f t="shared" si="14"/>
        <v>21375.241583333336</v>
      </c>
      <c r="N22" s="39">
        <f t="shared" si="14"/>
        <v>139981.85833333334</v>
      </c>
      <c r="O22" s="39"/>
      <c r="P22" s="39">
        <f>SUM(P15:P21)</f>
        <v>104800</v>
      </c>
    </row>
    <row r="23" spans="1:112" ht="14" thickTop="1" x14ac:dyDescent="0.15">
      <c r="C23" s="16" t="s">
        <v>237</v>
      </c>
      <c r="D23" s="16">
        <f>COUNT(D15:D21)</f>
        <v>5</v>
      </c>
    </row>
    <row r="24" spans="1:112" x14ac:dyDescent="0.15">
      <c r="A24" s="45" t="s">
        <v>170</v>
      </c>
    </row>
    <row r="25" spans="1:112" x14ac:dyDescent="0.15">
      <c r="C25" s="16" t="s">
        <v>212</v>
      </c>
      <c r="D25" s="38" t="s">
        <v>213</v>
      </c>
      <c r="E25" s="38" t="s">
        <v>214</v>
      </c>
      <c r="F25" s="38" t="s">
        <v>215</v>
      </c>
      <c r="G25" s="38" t="s">
        <v>216</v>
      </c>
      <c r="H25" s="38" t="s">
        <v>217</v>
      </c>
      <c r="I25" s="38" t="s">
        <v>218</v>
      </c>
      <c r="J25" s="38" t="s">
        <v>219</v>
      </c>
      <c r="K25" s="38" t="s">
        <v>220</v>
      </c>
      <c r="L25" s="38" t="s">
        <v>221</v>
      </c>
      <c r="M25" s="38" t="s">
        <v>222</v>
      </c>
      <c r="N25" s="38" t="s">
        <v>223</v>
      </c>
      <c r="O25" s="38"/>
      <c r="P25" s="56" t="s">
        <v>200</v>
      </c>
    </row>
    <row r="26" spans="1:112" x14ac:dyDescent="0.15">
      <c r="D26" s="38" t="s">
        <v>224</v>
      </c>
      <c r="E26" s="38" t="s">
        <v>225</v>
      </c>
      <c r="F26" s="38"/>
      <c r="G26" s="38" t="s">
        <v>226</v>
      </c>
      <c r="H26" s="38" t="s">
        <v>226</v>
      </c>
      <c r="I26" s="38" t="s">
        <v>227</v>
      </c>
      <c r="J26" s="38"/>
      <c r="K26" s="38" t="s">
        <v>228</v>
      </c>
      <c r="L26" s="38" t="s">
        <v>229</v>
      </c>
      <c r="M26" s="38" t="s">
        <v>230</v>
      </c>
      <c r="N26" s="38" t="s">
        <v>231</v>
      </c>
      <c r="O26" s="38"/>
    </row>
    <row r="27" spans="1:112" x14ac:dyDescent="0.15">
      <c r="A27" s="34" t="s">
        <v>386</v>
      </c>
      <c r="C27" s="16" t="s">
        <v>385</v>
      </c>
      <c r="D27" s="25">
        <v>2</v>
      </c>
      <c r="E27" s="24">
        <f>SUM(F27:P27)</f>
        <v>960200.81564166676</v>
      </c>
      <c r="F27" s="24">
        <f>533543*(B$6+1)</f>
        <v>570891.01</v>
      </c>
      <c r="G27" s="24">
        <f>F27*0.22</f>
        <v>125596.02220000001</v>
      </c>
      <c r="H27" s="24">
        <f t="shared" ref="H27:H29" si="15">3357*(B$7+1)*12</f>
        <v>43103.880000000005</v>
      </c>
      <c r="I27" s="24">
        <f t="shared" ref="I27:I34" si="16">700*12</f>
        <v>8400</v>
      </c>
      <c r="J27" s="15">
        <v>1926</v>
      </c>
      <c r="K27" s="67">
        <f>12900*12</f>
        <v>154800</v>
      </c>
      <c r="L27" s="24">
        <v>93</v>
      </c>
      <c r="M27" s="24">
        <f>(N27+I27+K27+F27)*0.01</f>
        <v>7816.6526083333338</v>
      </c>
      <c r="N27" s="24">
        <f>F27/12</f>
        <v>47574.250833333332</v>
      </c>
      <c r="O27" s="24"/>
    </row>
    <row r="28" spans="1:112" x14ac:dyDescent="0.15">
      <c r="A28" s="34" t="s">
        <v>517</v>
      </c>
      <c r="C28" s="16" t="s">
        <v>306</v>
      </c>
      <c r="D28" s="16">
        <v>5</v>
      </c>
      <c r="E28" s="24">
        <f t="shared" ref="E28:E29" si="17">SUM(F28:P28)</f>
        <v>688581.99073333328</v>
      </c>
      <c r="F28" s="24">
        <f>359992*(B$6+1)</f>
        <v>385191.44</v>
      </c>
      <c r="G28" s="24">
        <f t="shared" ref="G28:G29" si="18">F28*0.22</f>
        <v>84742.116800000003</v>
      </c>
      <c r="H28" s="24">
        <f>3871*(B$7+1)*12</f>
        <v>49703.64</v>
      </c>
      <c r="I28" s="24">
        <f t="shared" si="16"/>
        <v>8400</v>
      </c>
      <c r="J28" s="15">
        <v>1926</v>
      </c>
      <c r="K28" s="24">
        <f t="shared" ref="K28" si="19">10080*12</f>
        <v>120960</v>
      </c>
      <c r="L28" s="24">
        <v>93</v>
      </c>
      <c r="M28" s="24">
        <f t="shared" ref="M28:M29" si="20">(N28+I28+K28+F28)*0.01</f>
        <v>5466.5072666666665</v>
      </c>
      <c r="N28" s="24">
        <f t="shared" ref="N28:N29" si="21">F28/12</f>
        <v>32099.286666666667</v>
      </c>
      <c r="O28" s="24"/>
    </row>
    <row r="29" spans="1:112" x14ac:dyDescent="0.15">
      <c r="A29" s="34" t="s">
        <v>24</v>
      </c>
      <c r="C29" s="16" t="s">
        <v>38</v>
      </c>
      <c r="D29" s="16">
        <v>6</v>
      </c>
      <c r="E29" s="24">
        <f t="shared" si="17"/>
        <v>500905.84583333333</v>
      </c>
      <c r="F29" s="24">
        <f>318100*(B$6+1)</f>
        <v>340367</v>
      </c>
      <c r="G29" s="24">
        <f t="shared" si="18"/>
        <v>74880.740000000005</v>
      </c>
      <c r="H29" s="24">
        <f t="shared" si="15"/>
        <v>43103.880000000005</v>
      </c>
      <c r="I29" s="24">
        <f t="shared" si="16"/>
        <v>8400</v>
      </c>
      <c r="J29" s="15">
        <v>1926</v>
      </c>
      <c r="K29" s="24">
        <f>0*12</f>
        <v>0</v>
      </c>
      <c r="L29" s="24">
        <v>93</v>
      </c>
      <c r="M29" s="24">
        <f t="shared" si="20"/>
        <v>3771.3091666666669</v>
      </c>
      <c r="N29" s="24">
        <f t="shared" si="21"/>
        <v>28363.916666666668</v>
      </c>
      <c r="O29" s="24"/>
    </row>
    <row r="30" spans="1:112" x14ac:dyDescent="0.15">
      <c r="A30" s="34" t="s">
        <v>20</v>
      </c>
      <c r="C30" s="34" t="s">
        <v>384</v>
      </c>
      <c r="D30" s="16">
        <v>8</v>
      </c>
      <c r="E30" s="24">
        <f t="shared" ref="E30:E36" si="22">SUM(F30:P30)</f>
        <v>503791.0385416667</v>
      </c>
      <c r="F30" s="24">
        <f>244475*(B$6+1)</f>
        <v>261588.25000000003</v>
      </c>
      <c r="G30" s="24">
        <f t="shared" ref="G30:G32" si="23">F30*0.22</f>
        <v>57549.415000000008</v>
      </c>
      <c r="H30" s="24">
        <f t="shared" ref="H30:H33" si="24">3357*(B$7+1)*12</f>
        <v>43103.880000000005</v>
      </c>
      <c r="I30" s="24">
        <f t="shared" si="16"/>
        <v>8400</v>
      </c>
      <c r="J30" s="15">
        <v>1926</v>
      </c>
      <c r="K30" s="24">
        <f>8780*12</f>
        <v>105360</v>
      </c>
      <c r="L30" s="24">
        <v>93</v>
      </c>
      <c r="M30" s="24">
        <f t="shared" ref="M30:M32" si="25">(N30+I30+K30+F30)*0.01</f>
        <v>3971.4727083333337</v>
      </c>
      <c r="N30" s="24">
        <f t="shared" ref="N30:N32" si="26">F30/12</f>
        <v>21799.020833333336</v>
      </c>
      <c r="O30" s="24"/>
    </row>
    <row r="31" spans="1:112" x14ac:dyDescent="0.15">
      <c r="A31" s="34" t="s">
        <v>20</v>
      </c>
      <c r="C31" s="16" t="s">
        <v>446</v>
      </c>
      <c r="D31" s="16">
        <v>8</v>
      </c>
      <c r="E31" s="24">
        <f t="shared" si="22"/>
        <v>503791.0385416667</v>
      </c>
      <c r="F31" s="24">
        <f t="shared" ref="F31:F34" si="27">244475*(B$6+1)</f>
        <v>261588.25000000003</v>
      </c>
      <c r="G31" s="24">
        <f t="shared" si="23"/>
        <v>57549.415000000008</v>
      </c>
      <c r="H31" s="24">
        <f t="shared" si="24"/>
        <v>43103.880000000005</v>
      </c>
      <c r="I31" s="24">
        <f t="shared" si="16"/>
        <v>8400</v>
      </c>
      <c r="J31" s="15">
        <v>1926</v>
      </c>
      <c r="K31" s="24">
        <f t="shared" ref="K31:K33" si="28">8780*12</f>
        <v>105360</v>
      </c>
      <c r="L31" s="24">
        <v>93</v>
      </c>
      <c r="M31" s="24">
        <f t="shared" si="25"/>
        <v>3971.4727083333337</v>
      </c>
      <c r="N31" s="24">
        <f t="shared" si="26"/>
        <v>21799.020833333336</v>
      </c>
      <c r="O31" s="24"/>
    </row>
    <row r="32" spans="1:112" x14ac:dyDescent="0.15">
      <c r="A32" s="34" t="s">
        <v>20</v>
      </c>
      <c r="C32" s="16" t="s">
        <v>381</v>
      </c>
      <c r="D32" s="16">
        <v>8</v>
      </c>
      <c r="E32" s="24">
        <f t="shared" si="22"/>
        <v>503791.0385416667</v>
      </c>
      <c r="F32" s="24">
        <f t="shared" si="27"/>
        <v>261588.25000000003</v>
      </c>
      <c r="G32" s="24">
        <f t="shared" si="23"/>
        <v>57549.415000000008</v>
      </c>
      <c r="H32" s="24">
        <f t="shared" si="24"/>
        <v>43103.880000000005</v>
      </c>
      <c r="I32" s="24">
        <f t="shared" si="16"/>
        <v>8400</v>
      </c>
      <c r="J32" s="15">
        <v>1926</v>
      </c>
      <c r="K32" s="24">
        <f t="shared" si="28"/>
        <v>105360</v>
      </c>
      <c r="L32" s="24">
        <v>93</v>
      </c>
      <c r="M32" s="24">
        <f t="shared" si="25"/>
        <v>3971.4727083333337</v>
      </c>
      <c r="N32" s="24">
        <f t="shared" si="26"/>
        <v>21799.020833333336</v>
      </c>
      <c r="O32" s="24"/>
    </row>
    <row r="33" spans="1:16" x14ac:dyDescent="0.15">
      <c r="A33" s="34" t="s">
        <v>514</v>
      </c>
      <c r="C33" s="16" t="s">
        <v>382</v>
      </c>
      <c r="D33" s="16">
        <v>8</v>
      </c>
      <c r="E33" s="24">
        <f>SUM(F33:P33)</f>
        <v>503791.0385416667</v>
      </c>
      <c r="F33" s="24">
        <f t="shared" si="27"/>
        <v>261588.25000000003</v>
      </c>
      <c r="G33" s="24">
        <f>F33*0.22</f>
        <v>57549.415000000008</v>
      </c>
      <c r="H33" s="24">
        <f t="shared" si="24"/>
        <v>43103.880000000005</v>
      </c>
      <c r="I33" s="24">
        <f t="shared" si="16"/>
        <v>8400</v>
      </c>
      <c r="J33" s="15">
        <v>1926</v>
      </c>
      <c r="K33" s="24">
        <f t="shared" si="28"/>
        <v>105360</v>
      </c>
      <c r="L33" s="24">
        <v>93</v>
      </c>
      <c r="M33" s="24">
        <f>(N33+I33+K33+F33)*0.01</f>
        <v>3971.4727083333337</v>
      </c>
      <c r="N33" s="24">
        <f>F33/12</f>
        <v>21799.020833333336</v>
      </c>
      <c r="O33" s="24"/>
    </row>
    <row r="34" spans="1:16" x14ac:dyDescent="0.15">
      <c r="A34" s="34" t="s">
        <v>513</v>
      </c>
      <c r="C34" s="34" t="s">
        <v>574</v>
      </c>
      <c r="D34" s="16">
        <v>8</v>
      </c>
      <c r="E34" s="24">
        <f>SUM(F34:P34)</f>
        <v>397377.43854166666</v>
      </c>
      <c r="F34" s="24">
        <f t="shared" si="27"/>
        <v>261588.25000000003</v>
      </c>
      <c r="G34" s="24">
        <f>F34*0.22</f>
        <v>57549.415000000008</v>
      </c>
      <c r="H34" s="24">
        <f t="shared" ref="H34" si="29">3357*(B$7+1)*12</f>
        <v>43103.880000000005</v>
      </c>
      <c r="I34" s="24">
        <f t="shared" si="16"/>
        <v>8400</v>
      </c>
      <c r="J34" s="15">
        <v>1926</v>
      </c>
      <c r="K34" s="24">
        <v>0</v>
      </c>
      <c r="L34" s="24">
        <v>93</v>
      </c>
      <c r="M34" s="24">
        <f>(N34+I34+K34+F34)*0.01</f>
        <v>2917.8727083333338</v>
      </c>
      <c r="N34" s="24">
        <f>F34/12</f>
        <v>21799.020833333336</v>
      </c>
      <c r="O34" s="24"/>
    </row>
    <row r="35" spans="1:16" x14ac:dyDescent="0.15">
      <c r="A35" s="34" t="s">
        <v>372</v>
      </c>
      <c r="E35" s="24">
        <f>SUM(F35:P35)</f>
        <v>0</v>
      </c>
      <c r="F35" s="24"/>
      <c r="G35" s="24"/>
      <c r="H35" s="24"/>
      <c r="I35" s="24"/>
      <c r="J35" s="15"/>
      <c r="K35" s="24"/>
      <c r="L35" s="24"/>
      <c r="M35" s="24"/>
      <c r="N35" s="24"/>
      <c r="O35" s="24"/>
    </row>
    <row r="36" spans="1:16" x14ac:dyDescent="0.15">
      <c r="A36" s="34" t="s">
        <v>200</v>
      </c>
      <c r="C36" s="34" t="s">
        <v>200</v>
      </c>
      <c r="E36" s="24">
        <f t="shared" si="22"/>
        <v>64800</v>
      </c>
      <c r="F36" s="24"/>
      <c r="G36" s="24"/>
      <c r="H36" s="24"/>
      <c r="I36" s="24"/>
      <c r="J36" s="15"/>
      <c r="K36" s="24"/>
      <c r="L36" s="24"/>
      <c r="M36" s="24"/>
      <c r="N36" s="24"/>
      <c r="O36" s="24"/>
      <c r="P36" s="24">
        <v>64800</v>
      </c>
    </row>
    <row r="37" spans="1:16" ht="14" thickBot="1" x14ac:dyDescent="0.2">
      <c r="E37" s="39">
        <f t="shared" ref="E37:P37" si="30">SUM(E27:E36)</f>
        <v>4627030.2449166672</v>
      </c>
      <c r="F37" s="39">
        <f t="shared" si="30"/>
        <v>2604390.7000000002</v>
      </c>
      <c r="G37" s="39">
        <f t="shared" si="30"/>
        <v>572965.95400000014</v>
      </c>
      <c r="H37" s="39">
        <f t="shared" si="30"/>
        <v>351430.80000000005</v>
      </c>
      <c r="I37" s="39">
        <f t="shared" si="30"/>
        <v>67200</v>
      </c>
      <c r="J37" s="39">
        <f t="shared" si="30"/>
        <v>15408</v>
      </c>
      <c r="K37" s="39">
        <f t="shared" si="30"/>
        <v>697200</v>
      </c>
      <c r="L37" s="39">
        <f t="shared" si="30"/>
        <v>744</v>
      </c>
      <c r="M37" s="39">
        <f t="shared" si="30"/>
        <v>35858.232583333338</v>
      </c>
      <c r="N37" s="39">
        <f t="shared" si="30"/>
        <v>217032.55833333338</v>
      </c>
      <c r="O37" s="39"/>
      <c r="P37" s="39">
        <f t="shared" si="30"/>
        <v>64800</v>
      </c>
    </row>
    <row r="38" spans="1:16" ht="14" thickTop="1" x14ac:dyDescent="0.15">
      <c r="C38" s="16" t="s">
        <v>237</v>
      </c>
      <c r="D38" s="16">
        <f>COUNT(D27:D37)</f>
        <v>8</v>
      </c>
    </row>
    <row r="39" spans="1:16" x14ac:dyDescent="0.15">
      <c r="A39" s="45" t="s">
        <v>17</v>
      </c>
    </row>
    <row r="40" spans="1:16" x14ac:dyDescent="0.15">
      <c r="C40" s="16" t="s">
        <v>212</v>
      </c>
      <c r="D40" s="38" t="s">
        <v>213</v>
      </c>
      <c r="E40" s="38" t="s">
        <v>214</v>
      </c>
      <c r="F40" s="38" t="s">
        <v>215</v>
      </c>
      <c r="G40" s="38" t="s">
        <v>216</v>
      </c>
      <c r="H40" s="38" t="s">
        <v>217</v>
      </c>
      <c r="I40" s="38" t="s">
        <v>218</v>
      </c>
      <c r="J40" s="38" t="s">
        <v>219</v>
      </c>
      <c r="K40" s="38" t="s">
        <v>220</v>
      </c>
      <c r="L40" s="38" t="s">
        <v>221</v>
      </c>
      <c r="M40" s="38" t="s">
        <v>222</v>
      </c>
      <c r="N40" s="38" t="s">
        <v>223</v>
      </c>
      <c r="O40" s="38"/>
    </row>
    <row r="41" spans="1:16" x14ac:dyDescent="0.15">
      <c r="D41" s="38" t="s">
        <v>224</v>
      </c>
      <c r="E41" s="38" t="s">
        <v>225</v>
      </c>
      <c r="F41" s="38"/>
      <c r="G41" s="38" t="s">
        <v>226</v>
      </c>
      <c r="H41" s="38" t="s">
        <v>226</v>
      </c>
      <c r="I41" s="38" t="s">
        <v>227</v>
      </c>
      <c r="J41" s="38"/>
      <c r="K41" s="38" t="s">
        <v>228</v>
      </c>
      <c r="L41" s="38" t="s">
        <v>229</v>
      </c>
      <c r="M41" s="38" t="s">
        <v>230</v>
      </c>
      <c r="N41" s="38" t="s">
        <v>231</v>
      </c>
      <c r="O41" s="38"/>
    </row>
    <row r="42" spans="1:16" x14ac:dyDescent="0.15">
      <c r="A42" s="34" t="s">
        <v>16</v>
      </c>
      <c r="C42" s="34" t="s">
        <v>35</v>
      </c>
      <c r="D42" s="16">
        <v>8</v>
      </c>
      <c r="E42" s="24">
        <f t="shared" ref="E42:E43" si="31">SUM(F42:P42)</f>
        <v>397377.43854166666</v>
      </c>
      <c r="F42" s="24">
        <f t="shared" ref="F42" si="32">244475*(B$6+1)</f>
        <v>261588.25000000003</v>
      </c>
      <c r="G42" s="24">
        <f t="shared" ref="G42" si="33">F42*0.22</f>
        <v>57549.415000000008</v>
      </c>
      <c r="H42" s="24">
        <f t="shared" ref="H42" si="34">3357*(B$7+1)*12</f>
        <v>43103.880000000005</v>
      </c>
      <c r="I42" s="24">
        <f t="shared" ref="I42" si="35">700*12</f>
        <v>8400</v>
      </c>
      <c r="J42" s="15">
        <v>1926</v>
      </c>
      <c r="K42" s="24">
        <v>0</v>
      </c>
      <c r="L42" s="24">
        <v>93</v>
      </c>
      <c r="M42" s="24">
        <f t="shared" ref="M42" si="36">(N42+I42+K42+F42)*0.01</f>
        <v>2917.8727083333338</v>
      </c>
      <c r="N42" s="24">
        <f t="shared" ref="N42" si="37">F42/12</f>
        <v>21799.020833333336</v>
      </c>
      <c r="O42" s="24"/>
    </row>
    <row r="43" spans="1:16" x14ac:dyDescent="0.15">
      <c r="A43" s="34" t="s">
        <v>372</v>
      </c>
      <c r="E43" s="24">
        <f t="shared" si="31"/>
        <v>0</v>
      </c>
      <c r="F43" s="24"/>
      <c r="G43" s="24"/>
      <c r="H43" s="24"/>
      <c r="I43" s="24"/>
      <c r="J43" s="15"/>
      <c r="K43" s="24"/>
      <c r="L43" s="24"/>
      <c r="M43" s="24"/>
      <c r="N43" s="24"/>
      <c r="O43" s="24"/>
    </row>
    <row r="44" spans="1:16" x14ac:dyDescent="0.1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6" ht="14" thickBot="1" x14ac:dyDescent="0.2">
      <c r="E45" s="39">
        <f t="shared" ref="E45:N45" si="38">SUM(E42:E44)</f>
        <v>397377.43854166666</v>
      </c>
      <c r="F45" s="39">
        <f t="shared" si="38"/>
        <v>261588.25000000003</v>
      </c>
      <c r="G45" s="39">
        <f t="shared" si="38"/>
        <v>57549.415000000008</v>
      </c>
      <c r="H45" s="39">
        <f t="shared" si="38"/>
        <v>43103.880000000005</v>
      </c>
      <c r="I45" s="39">
        <f t="shared" si="38"/>
        <v>8400</v>
      </c>
      <c r="J45" s="39">
        <f t="shared" si="38"/>
        <v>1926</v>
      </c>
      <c r="K45" s="39">
        <f t="shared" si="38"/>
        <v>0</v>
      </c>
      <c r="L45" s="39">
        <f t="shared" si="38"/>
        <v>93</v>
      </c>
      <c r="M45" s="39">
        <f t="shared" si="38"/>
        <v>2917.8727083333338</v>
      </c>
      <c r="N45" s="39">
        <f t="shared" si="38"/>
        <v>21799.020833333336</v>
      </c>
      <c r="O45" s="40"/>
    </row>
    <row r="46" spans="1:16" ht="14" thickTop="1" x14ac:dyDescent="0.15">
      <c r="C46" s="16" t="s">
        <v>237</v>
      </c>
      <c r="D46" s="16">
        <f>COUNT(D42:D45)</f>
        <v>1</v>
      </c>
    </row>
    <row r="47" spans="1:16" x14ac:dyDescent="0.15">
      <c r="A47" s="45" t="s">
        <v>171</v>
      </c>
    </row>
    <row r="48" spans="1:16" x14ac:dyDescent="0.15">
      <c r="C48" s="16" t="s">
        <v>212</v>
      </c>
      <c r="D48" s="38" t="s">
        <v>213</v>
      </c>
      <c r="E48" s="38" t="s">
        <v>214</v>
      </c>
      <c r="F48" s="38" t="s">
        <v>215</v>
      </c>
      <c r="G48" s="38" t="s">
        <v>216</v>
      </c>
      <c r="H48" s="38" t="s">
        <v>217</v>
      </c>
      <c r="I48" s="38" t="s">
        <v>218</v>
      </c>
      <c r="J48" s="38" t="s">
        <v>219</v>
      </c>
      <c r="K48" s="38" t="s">
        <v>220</v>
      </c>
      <c r="L48" s="38" t="s">
        <v>221</v>
      </c>
      <c r="M48" s="38" t="s">
        <v>222</v>
      </c>
      <c r="N48" s="38" t="s">
        <v>223</v>
      </c>
      <c r="O48" s="38"/>
      <c r="P48" s="24" t="s">
        <v>200</v>
      </c>
    </row>
    <row r="49" spans="1:16" x14ac:dyDescent="0.15">
      <c r="D49" s="38" t="s">
        <v>224</v>
      </c>
      <c r="E49" s="38" t="s">
        <v>225</v>
      </c>
      <c r="F49" s="38"/>
      <c r="G49" s="38" t="s">
        <v>226</v>
      </c>
      <c r="H49" s="38" t="s">
        <v>226</v>
      </c>
      <c r="I49" s="38" t="s">
        <v>227</v>
      </c>
      <c r="J49" s="38"/>
      <c r="K49" s="38" t="s">
        <v>228</v>
      </c>
      <c r="L49" s="38" t="s">
        <v>229</v>
      </c>
      <c r="M49" s="38" t="s">
        <v>230</v>
      </c>
      <c r="N49" s="38" t="s">
        <v>231</v>
      </c>
      <c r="O49" s="38"/>
    </row>
    <row r="50" spans="1:16" x14ac:dyDescent="0.15">
      <c r="A50" s="34" t="s">
        <v>389</v>
      </c>
      <c r="C50" s="34" t="s">
        <v>515</v>
      </c>
      <c r="D50" s="16">
        <v>8</v>
      </c>
      <c r="E50" s="24">
        <f>SUM(F50:P50)</f>
        <v>397377.43854166666</v>
      </c>
      <c r="F50" s="24">
        <f>244475*(B$6+1)</f>
        <v>261588.25000000003</v>
      </c>
      <c r="G50" s="24">
        <f>F50*0.22</f>
        <v>57549.415000000008</v>
      </c>
      <c r="H50" s="24">
        <f t="shared" ref="H50:H56" si="39">3357*(B$7+1)*12</f>
        <v>43103.880000000005</v>
      </c>
      <c r="I50" s="24">
        <f t="shared" ref="I50:I56" si="40">700*12</f>
        <v>8400</v>
      </c>
      <c r="J50" s="15">
        <v>1926</v>
      </c>
      <c r="K50" s="24">
        <v>0</v>
      </c>
      <c r="L50" s="24">
        <v>93</v>
      </c>
      <c r="M50" s="24">
        <f>(N50+I50+K50+F50)*0.01</f>
        <v>2917.8727083333338</v>
      </c>
      <c r="N50" s="24">
        <f>F50/12</f>
        <v>21799.020833333336</v>
      </c>
      <c r="O50" s="24"/>
    </row>
    <row r="51" spans="1:16" x14ac:dyDescent="0.15">
      <c r="A51" s="34" t="s">
        <v>596</v>
      </c>
      <c r="C51" s="16" t="s">
        <v>597</v>
      </c>
      <c r="D51" s="16">
        <v>8</v>
      </c>
      <c r="E51" s="24">
        <f>SUM(F51:P51)</f>
        <v>397377.43854166666</v>
      </c>
      <c r="F51" s="24">
        <f t="shared" ref="F51:F56" si="41">244475*(B$6+1)</f>
        <v>261588.25000000003</v>
      </c>
      <c r="G51" s="24">
        <f>F51*0.22</f>
        <v>57549.415000000008</v>
      </c>
      <c r="H51" s="24">
        <f t="shared" ref="H51" si="42">3357*(B$7+1)*12</f>
        <v>43103.880000000005</v>
      </c>
      <c r="I51" s="24">
        <f t="shared" si="40"/>
        <v>8400</v>
      </c>
      <c r="J51" s="15">
        <v>1926</v>
      </c>
      <c r="K51" s="24">
        <v>0</v>
      </c>
      <c r="L51" s="24">
        <v>93</v>
      </c>
      <c r="M51" s="24">
        <f>(N51+I51+K51+F51)*0.01</f>
        <v>2917.8727083333338</v>
      </c>
      <c r="N51" s="24">
        <f>F51/12</f>
        <v>21799.020833333336</v>
      </c>
      <c r="O51" s="24"/>
    </row>
    <row r="52" spans="1:16" x14ac:dyDescent="0.15">
      <c r="A52" s="34" t="s">
        <v>552</v>
      </c>
      <c r="C52" s="34" t="s">
        <v>387</v>
      </c>
      <c r="D52" s="16">
        <v>8</v>
      </c>
      <c r="E52" s="24">
        <f t="shared" ref="E52:E58" si="43">SUM(F52:P52)</f>
        <v>397377.43854166666</v>
      </c>
      <c r="F52" s="24">
        <f t="shared" si="41"/>
        <v>261588.25000000003</v>
      </c>
      <c r="G52" s="24">
        <f t="shared" ref="G52:G53" si="44">F52*0.22</f>
        <v>57549.415000000008</v>
      </c>
      <c r="H52" s="24">
        <f t="shared" si="39"/>
        <v>43103.880000000005</v>
      </c>
      <c r="I52" s="24">
        <f t="shared" si="40"/>
        <v>8400</v>
      </c>
      <c r="J52" s="15">
        <v>1926</v>
      </c>
      <c r="K52" s="24">
        <v>0</v>
      </c>
      <c r="L52" s="24">
        <v>93</v>
      </c>
      <c r="M52" s="24">
        <f t="shared" ref="M52:M53" si="45">(N52+I52+K52+F52)*0.01</f>
        <v>2917.8727083333338</v>
      </c>
      <c r="N52" s="24">
        <f t="shared" ref="N52:N53" si="46">F52/12</f>
        <v>21799.020833333336</v>
      </c>
      <c r="O52" s="24"/>
    </row>
    <row r="53" spans="1:16" s="16" customFormat="1" x14ac:dyDescent="0.15">
      <c r="A53" s="34" t="s">
        <v>72</v>
      </c>
      <c r="C53" s="59" t="s">
        <v>107</v>
      </c>
      <c r="D53" s="16">
        <v>8</v>
      </c>
      <c r="E53" s="24">
        <f t="shared" si="43"/>
        <v>403977.19854166667</v>
      </c>
      <c r="F53" s="24">
        <f t="shared" si="41"/>
        <v>261588.25000000003</v>
      </c>
      <c r="G53" s="24">
        <f t="shared" si="44"/>
        <v>57549.415000000008</v>
      </c>
      <c r="H53" s="24">
        <f>3871*(B$7+1)*12</f>
        <v>49703.64</v>
      </c>
      <c r="I53" s="24">
        <f t="shared" si="40"/>
        <v>8400</v>
      </c>
      <c r="J53" s="15">
        <v>1926</v>
      </c>
      <c r="K53" s="24">
        <v>0</v>
      </c>
      <c r="L53" s="24">
        <v>93</v>
      </c>
      <c r="M53" s="24">
        <f t="shared" si="45"/>
        <v>2917.8727083333338</v>
      </c>
      <c r="N53" s="24">
        <f t="shared" si="46"/>
        <v>21799.020833333336</v>
      </c>
      <c r="O53" s="24"/>
      <c r="P53" s="24"/>
    </row>
    <row r="54" spans="1:16" s="218" customFormat="1" x14ac:dyDescent="0.15">
      <c r="A54" s="218" t="s">
        <v>578</v>
      </c>
      <c r="C54" s="218" t="s">
        <v>35</v>
      </c>
      <c r="D54" s="218">
        <v>8</v>
      </c>
      <c r="E54" s="219">
        <f t="shared" ref="E54" si="47">SUM(F54:P54)</f>
        <v>397377.43854166666</v>
      </c>
      <c r="F54" s="24">
        <f t="shared" si="41"/>
        <v>261588.25000000003</v>
      </c>
      <c r="G54" s="219">
        <f t="shared" ref="G54" si="48">F54*0.22</f>
        <v>57549.415000000008</v>
      </c>
      <c r="H54" s="219">
        <f t="shared" ref="H54" si="49">3357*(B$7+1)*12</f>
        <v>43103.880000000005</v>
      </c>
      <c r="I54" s="24">
        <f t="shared" si="40"/>
        <v>8400</v>
      </c>
      <c r="J54" s="15">
        <v>1926</v>
      </c>
      <c r="K54" s="219">
        <v>0</v>
      </c>
      <c r="L54" s="24">
        <v>93</v>
      </c>
      <c r="M54" s="219">
        <f t="shared" ref="M54" si="50">(N54+I54+K54+F54)*0.01</f>
        <v>2917.8727083333338</v>
      </c>
      <c r="N54" s="219">
        <f t="shared" ref="N54" si="51">F54/12</f>
        <v>21799.020833333336</v>
      </c>
      <c r="O54" s="219"/>
      <c r="P54" s="219"/>
    </row>
    <row r="55" spans="1:16" s="218" customFormat="1" x14ac:dyDescent="0.15">
      <c r="A55" s="218" t="s">
        <v>579</v>
      </c>
      <c r="C55" s="218" t="s">
        <v>35</v>
      </c>
      <c r="D55" s="218">
        <v>8</v>
      </c>
      <c r="E55" s="219">
        <f t="shared" ref="E55" si="52">SUM(F55:P55)</f>
        <v>397377.43854166666</v>
      </c>
      <c r="F55" s="24">
        <f t="shared" si="41"/>
        <v>261588.25000000003</v>
      </c>
      <c r="G55" s="219">
        <f t="shared" ref="G55" si="53">F55*0.22</f>
        <v>57549.415000000008</v>
      </c>
      <c r="H55" s="219">
        <f t="shared" ref="H55" si="54">3357*(B$7+1)*12</f>
        <v>43103.880000000005</v>
      </c>
      <c r="I55" s="24">
        <f t="shared" si="40"/>
        <v>8400</v>
      </c>
      <c r="J55" s="15">
        <v>1926</v>
      </c>
      <c r="K55" s="219">
        <v>0</v>
      </c>
      <c r="L55" s="24">
        <v>93</v>
      </c>
      <c r="M55" s="219">
        <f t="shared" ref="M55" si="55">(N55+I55+K55+F55)*0.01</f>
        <v>2917.8727083333338</v>
      </c>
      <c r="N55" s="219">
        <f t="shared" ref="N55" si="56">F55/12</f>
        <v>21799.020833333336</v>
      </c>
      <c r="O55" s="219"/>
      <c r="P55" s="219"/>
    </row>
    <row r="56" spans="1:16" x14ac:dyDescent="0.15">
      <c r="A56" s="34" t="s">
        <v>73</v>
      </c>
      <c r="C56" s="16" t="s">
        <v>472</v>
      </c>
      <c r="D56" s="16">
        <v>8</v>
      </c>
      <c r="E56" s="24">
        <f>SUM(F56:P56)</f>
        <v>397377.43854166666</v>
      </c>
      <c r="F56" s="24">
        <f t="shared" si="41"/>
        <v>261588.25000000003</v>
      </c>
      <c r="G56" s="24">
        <f>F56*0.22</f>
        <v>57549.415000000008</v>
      </c>
      <c r="H56" s="24">
        <f t="shared" si="39"/>
        <v>43103.880000000005</v>
      </c>
      <c r="I56" s="24">
        <f t="shared" si="40"/>
        <v>8400</v>
      </c>
      <c r="J56" s="15">
        <v>1926</v>
      </c>
      <c r="K56" s="24">
        <v>0</v>
      </c>
      <c r="L56" s="24">
        <v>93</v>
      </c>
      <c r="M56" s="24">
        <f>(N56+I56+K56+F56)*0.01</f>
        <v>2917.8727083333338</v>
      </c>
      <c r="N56" s="24">
        <f>F56/12</f>
        <v>21799.020833333336</v>
      </c>
      <c r="O56" s="24"/>
    </row>
    <row r="57" spans="1:16" x14ac:dyDescent="0.15">
      <c r="A57" s="34" t="s">
        <v>372</v>
      </c>
      <c r="C57" s="59"/>
      <c r="E57" s="24">
        <f>SUM(F57:P57)</f>
        <v>0</v>
      </c>
      <c r="F57" s="24"/>
      <c r="G57" s="24"/>
      <c r="H57" s="24"/>
      <c r="I57" s="24"/>
      <c r="J57" s="15"/>
      <c r="K57" s="24"/>
      <c r="L57" s="24"/>
      <c r="M57" s="24"/>
      <c r="N57" s="24"/>
      <c r="O57" s="24"/>
    </row>
    <row r="58" spans="1:16" s="16" customFormat="1" x14ac:dyDescent="0.15">
      <c r="A58" s="34" t="s">
        <v>200</v>
      </c>
      <c r="C58" s="34" t="s">
        <v>200</v>
      </c>
      <c r="E58" s="24">
        <f t="shared" si="43"/>
        <v>10800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>
        <v>10800</v>
      </c>
    </row>
    <row r="59" spans="1:16" ht="14" thickBot="1" x14ac:dyDescent="0.2">
      <c r="E59" s="39">
        <f t="shared" ref="E59:N59" si="57">SUM(E50:E58)</f>
        <v>2799041.8297916665</v>
      </c>
      <c r="F59" s="39">
        <f t="shared" si="57"/>
        <v>1831117.7500000002</v>
      </c>
      <c r="G59" s="39">
        <f t="shared" si="57"/>
        <v>402845.90500000014</v>
      </c>
      <c r="H59" s="39">
        <f t="shared" si="57"/>
        <v>308326.92000000004</v>
      </c>
      <c r="I59" s="39">
        <f t="shared" si="57"/>
        <v>58800</v>
      </c>
      <c r="J59" s="39">
        <f t="shared" si="57"/>
        <v>13482</v>
      </c>
      <c r="K59" s="39">
        <f t="shared" si="57"/>
        <v>0</v>
      </c>
      <c r="L59" s="39">
        <f t="shared" si="57"/>
        <v>651</v>
      </c>
      <c r="M59" s="39">
        <f t="shared" si="57"/>
        <v>20425.108958333334</v>
      </c>
      <c r="N59" s="39">
        <f t="shared" si="57"/>
        <v>152593.14583333337</v>
      </c>
      <c r="O59" s="39"/>
      <c r="P59" s="39">
        <f>SUM(P50:P58)</f>
        <v>10800</v>
      </c>
    </row>
    <row r="60" spans="1:16" ht="14" thickTop="1" x14ac:dyDescent="0.15">
      <c r="C60" s="16" t="s">
        <v>237</v>
      </c>
      <c r="D60" s="16">
        <f>COUNT(D50:D59)</f>
        <v>7</v>
      </c>
    </row>
    <row r="61" spans="1:16" x14ac:dyDescent="0.15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6" x14ac:dyDescent="0.15">
      <c r="A62" s="45" t="s">
        <v>130</v>
      </c>
    </row>
    <row r="63" spans="1:16" x14ac:dyDescent="0.15">
      <c r="C63" s="16" t="s">
        <v>212</v>
      </c>
      <c r="D63" s="38" t="s">
        <v>213</v>
      </c>
      <c r="E63" s="38" t="s">
        <v>214</v>
      </c>
      <c r="F63" s="38" t="s">
        <v>215</v>
      </c>
      <c r="G63" s="38" t="s">
        <v>216</v>
      </c>
      <c r="H63" s="38" t="s">
        <v>217</v>
      </c>
      <c r="I63" s="38" t="s">
        <v>218</v>
      </c>
      <c r="J63" s="38" t="s">
        <v>219</v>
      </c>
      <c r="K63" s="38" t="s">
        <v>220</v>
      </c>
      <c r="L63" s="38" t="s">
        <v>221</v>
      </c>
      <c r="M63" s="38" t="s">
        <v>222</v>
      </c>
      <c r="N63" s="38" t="s">
        <v>223</v>
      </c>
      <c r="O63" s="38" t="s">
        <v>529</v>
      </c>
      <c r="P63" s="24" t="s">
        <v>200</v>
      </c>
    </row>
    <row r="64" spans="1:16" x14ac:dyDescent="0.15">
      <c r="D64" s="38" t="s">
        <v>224</v>
      </c>
      <c r="E64" s="38" t="s">
        <v>225</v>
      </c>
      <c r="F64" s="38"/>
      <c r="G64" s="38" t="s">
        <v>226</v>
      </c>
      <c r="H64" s="38" t="s">
        <v>226</v>
      </c>
      <c r="I64" s="38" t="s">
        <v>227</v>
      </c>
      <c r="J64" s="38"/>
      <c r="K64" s="38" t="s">
        <v>228</v>
      </c>
      <c r="L64" s="38" t="s">
        <v>229</v>
      </c>
      <c r="M64" s="38" t="s">
        <v>230</v>
      </c>
      <c r="N64" s="38" t="s">
        <v>231</v>
      </c>
      <c r="O64" s="38" t="s">
        <v>228</v>
      </c>
    </row>
    <row r="65" spans="1:112" x14ac:dyDescent="0.15">
      <c r="A65" s="174" t="s">
        <v>50</v>
      </c>
      <c r="C65" s="16" t="s">
        <v>89</v>
      </c>
      <c r="D65" s="16">
        <v>0</v>
      </c>
      <c r="E65" s="24">
        <f t="shared" ref="E65:E66" si="58">SUM(F65:P65)</f>
        <v>1850736.3553916668</v>
      </c>
      <c r="F65" s="24">
        <f>1054973*(B$6+1)</f>
        <v>1128821.1100000001</v>
      </c>
      <c r="G65" s="24">
        <f t="shared" ref="G65:G66" si="59">F65*0.22</f>
        <v>248340.64420000001</v>
      </c>
      <c r="H65" s="24">
        <f>2017*(B$7+1)*12</f>
        <v>25898.28</v>
      </c>
      <c r="I65" s="24">
        <v>0</v>
      </c>
      <c r="J65" s="15">
        <v>1926</v>
      </c>
      <c r="K65" s="24">
        <f>28000*12</f>
        <v>336000</v>
      </c>
      <c r="L65" s="24">
        <v>93</v>
      </c>
      <c r="M65" s="24">
        <f t="shared" ref="M65:M66" si="60">(N65+I65+K65+F65)*0.01</f>
        <v>15588.895358333335</v>
      </c>
      <c r="N65" s="24">
        <f t="shared" ref="N65:N66" si="61">F65/12</f>
        <v>94068.425833333342</v>
      </c>
      <c r="O65" s="24"/>
    </row>
    <row r="66" spans="1:112" s="29" customFormat="1" x14ac:dyDescent="0.15">
      <c r="A66" s="174" t="s">
        <v>51</v>
      </c>
      <c r="B66" s="16"/>
      <c r="C66" s="16" t="s">
        <v>444</v>
      </c>
      <c r="D66" s="16">
        <v>2</v>
      </c>
      <c r="E66" s="24">
        <f t="shared" si="58"/>
        <v>960200.81564166676</v>
      </c>
      <c r="F66" s="24">
        <f t="shared" ref="F66:F69" si="62">533543*(B$6+1)</f>
        <v>570891.01</v>
      </c>
      <c r="G66" s="24">
        <f t="shared" si="59"/>
        <v>125596.02220000001</v>
      </c>
      <c r="H66" s="24">
        <f t="shared" ref="H66" si="63">3357*(B$7+1)*12</f>
        <v>43103.880000000005</v>
      </c>
      <c r="I66" s="24">
        <f t="shared" ref="I66:I89" si="64">700*12</f>
        <v>8400</v>
      </c>
      <c r="J66" s="15">
        <v>1926</v>
      </c>
      <c r="K66" s="67">
        <f t="shared" ref="K66:K69" si="65">12900*12</f>
        <v>154800</v>
      </c>
      <c r="L66" s="24">
        <v>93</v>
      </c>
      <c r="M66" s="24">
        <f t="shared" si="60"/>
        <v>7816.6526083333338</v>
      </c>
      <c r="N66" s="24">
        <f t="shared" si="61"/>
        <v>47574.250833333332</v>
      </c>
      <c r="O66" s="24"/>
      <c r="P66" s="24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</row>
    <row r="67" spans="1:112" s="29" customFormat="1" x14ac:dyDescent="0.15">
      <c r="A67" s="34" t="s">
        <v>52</v>
      </c>
      <c r="B67" s="16"/>
      <c r="C67" s="16" t="s">
        <v>141</v>
      </c>
      <c r="D67" s="16">
        <v>2</v>
      </c>
      <c r="E67" s="24">
        <f t="shared" ref="E67:E98" si="66">SUM(F67:P67)</f>
        <v>960200.81564166676</v>
      </c>
      <c r="F67" s="24">
        <f t="shared" si="62"/>
        <v>570891.01</v>
      </c>
      <c r="G67" s="24">
        <f t="shared" ref="G67:G72" si="67">F67*0.22</f>
        <v>125596.02220000001</v>
      </c>
      <c r="H67" s="24">
        <f t="shared" ref="H67:H296" si="68">3357*(B$7+1)*12</f>
        <v>43103.880000000005</v>
      </c>
      <c r="I67" s="24">
        <f t="shared" si="64"/>
        <v>8400</v>
      </c>
      <c r="J67" s="15">
        <v>1926</v>
      </c>
      <c r="K67" s="67">
        <f t="shared" si="65"/>
        <v>154800</v>
      </c>
      <c r="L67" s="24">
        <v>93</v>
      </c>
      <c r="M67" s="24">
        <f t="shared" ref="M67:M89" si="69">(N67+I67+K67+F67)*0.01</f>
        <v>7816.6526083333338</v>
      </c>
      <c r="N67" s="24">
        <f t="shared" ref="N67:N74" si="70">F67/12</f>
        <v>47574.250833333332</v>
      </c>
      <c r="O67" s="24"/>
      <c r="P67" s="24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</row>
    <row r="68" spans="1:112" x14ac:dyDescent="0.15">
      <c r="A68" s="34" t="s">
        <v>454</v>
      </c>
      <c r="C68" s="16" t="s">
        <v>453</v>
      </c>
      <c r="D68" s="16">
        <v>2</v>
      </c>
      <c r="E68" s="24">
        <f t="shared" ref="E68" si="71">SUM(F68:P68)</f>
        <v>960200.81564166676</v>
      </c>
      <c r="F68" s="24">
        <f t="shared" si="62"/>
        <v>570891.01</v>
      </c>
      <c r="G68" s="24">
        <f t="shared" si="67"/>
        <v>125596.02220000001</v>
      </c>
      <c r="H68" s="24">
        <f t="shared" si="68"/>
        <v>43103.880000000005</v>
      </c>
      <c r="I68" s="24">
        <f t="shared" si="64"/>
        <v>8400</v>
      </c>
      <c r="J68" s="15">
        <v>1926</v>
      </c>
      <c r="K68" s="67">
        <f t="shared" si="65"/>
        <v>154800</v>
      </c>
      <c r="L68" s="24">
        <v>93</v>
      </c>
      <c r="M68" s="24">
        <f t="shared" si="69"/>
        <v>7816.6526083333338</v>
      </c>
      <c r="N68" s="24">
        <f t="shared" si="70"/>
        <v>47574.250833333332</v>
      </c>
      <c r="O68" s="24"/>
    </row>
    <row r="69" spans="1:112" x14ac:dyDescent="0.15">
      <c r="A69" s="34" t="s">
        <v>416</v>
      </c>
      <c r="C69" s="34" t="s">
        <v>417</v>
      </c>
      <c r="D69" s="16">
        <v>2</v>
      </c>
      <c r="E69" s="24">
        <f t="shared" ref="E69" si="72">SUM(F69:P69)</f>
        <v>960200.81564166676</v>
      </c>
      <c r="F69" s="24">
        <f t="shared" si="62"/>
        <v>570891.01</v>
      </c>
      <c r="G69" s="24">
        <f>F69*0.22</f>
        <v>125596.02220000001</v>
      </c>
      <c r="H69" s="24">
        <f t="shared" si="68"/>
        <v>43103.880000000005</v>
      </c>
      <c r="I69" s="24">
        <f t="shared" si="64"/>
        <v>8400</v>
      </c>
      <c r="J69" s="15">
        <v>1926</v>
      </c>
      <c r="K69" s="67">
        <f t="shared" si="65"/>
        <v>154800</v>
      </c>
      <c r="L69" s="24">
        <v>93</v>
      </c>
      <c r="M69" s="24">
        <f>(N69+I69+K69+F69)*0.01</f>
        <v>7816.6526083333338</v>
      </c>
      <c r="N69" s="24">
        <f t="shared" si="70"/>
        <v>47574.250833333332</v>
      </c>
      <c r="O69" s="24"/>
    </row>
    <row r="70" spans="1:112" x14ac:dyDescent="0.15">
      <c r="A70" s="34" t="s">
        <v>53</v>
      </c>
      <c r="C70" s="34" t="s">
        <v>497</v>
      </c>
      <c r="D70" s="16" t="s">
        <v>395</v>
      </c>
      <c r="E70" s="24">
        <f t="shared" si="66"/>
        <v>865425.42264999996</v>
      </c>
      <c r="F70" s="24">
        <f>474762*(B$6+1)</f>
        <v>507995.34</v>
      </c>
      <c r="G70" s="24">
        <f t="shared" si="67"/>
        <v>111758.97480000001</v>
      </c>
      <c r="H70" s="24">
        <f t="shared" si="68"/>
        <v>43103.880000000005</v>
      </c>
      <c r="I70" s="24">
        <f t="shared" si="64"/>
        <v>8400</v>
      </c>
      <c r="J70" s="15">
        <v>1926</v>
      </c>
      <c r="K70" s="24">
        <f>11900*12</f>
        <v>142800</v>
      </c>
      <c r="L70" s="24">
        <v>93</v>
      </c>
      <c r="M70" s="24">
        <f t="shared" si="69"/>
        <v>7015.2828500000005</v>
      </c>
      <c r="N70" s="24">
        <f t="shared" si="70"/>
        <v>42332.945</v>
      </c>
      <c r="O70" s="24"/>
    </row>
    <row r="71" spans="1:112" x14ac:dyDescent="0.15">
      <c r="A71" s="34" t="s">
        <v>54</v>
      </c>
      <c r="C71" s="16" t="s">
        <v>413</v>
      </c>
      <c r="D71" s="16" t="s">
        <v>395</v>
      </c>
      <c r="E71" s="24">
        <f t="shared" si="66"/>
        <v>872025.18264999997</v>
      </c>
      <c r="F71" s="24">
        <f>474762*(B$6+1)</f>
        <v>507995.34</v>
      </c>
      <c r="G71" s="24">
        <f t="shared" si="67"/>
        <v>111758.97480000001</v>
      </c>
      <c r="H71" s="24">
        <f>3871*(B$7+1)*12</f>
        <v>49703.64</v>
      </c>
      <c r="I71" s="24">
        <f t="shared" si="64"/>
        <v>8400</v>
      </c>
      <c r="J71" s="15">
        <v>1926</v>
      </c>
      <c r="K71" s="24">
        <f t="shared" ref="K71:K72" si="73">11900*12</f>
        <v>142800</v>
      </c>
      <c r="L71" s="24">
        <v>93</v>
      </c>
      <c r="M71" s="24">
        <f t="shared" si="69"/>
        <v>7015.2828500000005</v>
      </c>
      <c r="N71" s="24">
        <f>F71/12</f>
        <v>42332.945</v>
      </c>
      <c r="O71" s="24"/>
    </row>
    <row r="72" spans="1:112" x14ac:dyDescent="0.15">
      <c r="A72" s="34" t="s">
        <v>57</v>
      </c>
      <c r="C72" s="16" t="s">
        <v>617</v>
      </c>
      <c r="D72" s="16" t="s">
        <v>395</v>
      </c>
      <c r="E72" s="24">
        <f t="shared" si="66"/>
        <v>872025.18264999997</v>
      </c>
      <c r="F72" s="24">
        <f>474762*(B$6+1)</f>
        <v>507995.34</v>
      </c>
      <c r="G72" s="24">
        <f t="shared" si="67"/>
        <v>111758.97480000001</v>
      </c>
      <c r="H72" s="24">
        <f>3871*(B$7+1)*12</f>
        <v>49703.64</v>
      </c>
      <c r="I72" s="24">
        <f t="shared" si="64"/>
        <v>8400</v>
      </c>
      <c r="J72" s="15">
        <v>1926</v>
      </c>
      <c r="K72" s="24">
        <f t="shared" si="73"/>
        <v>142800</v>
      </c>
      <c r="L72" s="24">
        <v>93</v>
      </c>
      <c r="M72" s="24">
        <f t="shared" si="69"/>
        <v>7015.2828500000005</v>
      </c>
      <c r="N72" s="24">
        <f>F72/12</f>
        <v>42332.945</v>
      </c>
      <c r="O72" s="24"/>
    </row>
    <row r="73" spans="1:112" x14ac:dyDescent="0.15">
      <c r="A73" s="34" t="s">
        <v>58</v>
      </c>
      <c r="C73" s="16" t="s">
        <v>26</v>
      </c>
      <c r="D73" s="16">
        <v>6</v>
      </c>
      <c r="E73" s="24">
        <f t="shared" si="66"/>
        <v>629675.20583333331</v>
      </c>
      <c r="F73" s="24">
        <f>318100*(B$6+1)</f>
        <v>340367</v>
      </c>
      <c r="G73" s="24">
        <f t="shared" ref="G73:G88" si="74">F73*0.22</f>
        <v>74880.740000000005</v>
      </c>
      <c r="H73" s="24">
        <f>3871*(B$7+1)*12</f>
        <v>49703.64</v>
      </c>
      <c r="I73" s="24">
        <f t="shared" si="64"/>
        <v>8400</v>
      </c>
      <c r="J73" s="15">
        <v>1926</v>
      </c>
      <c r="K73" s="24">
        <f>10080*12</f>
        <v>120960</v>
      </c>
      <c r="L73" s="24">
        <v>93</v>
      </c>
      <c r="M73" s="24">
        <f t="shared" si="69"/>
        <v>4980.9091666666673</v>
      </c>
      <c r="N73" s="24">
        <f t="shared" si="70"/>
        <v>28363.916666666668</v>
      </c>
      <c r="O73" s="24"/>
    </row>
    <row r="74" spans="1:112" x14ac:dyDescent="0.15">
      <c r="A74" s="34" t="s">
        <v>59</v>
      </c>
      <c r="C74" s="16" t="s">
        <v>396</v>
      </c>
      <c r="D74" s="16">
        <v>6</v>
      </c>
      <c r="E74" s="24">
        <f t="shared" si="66"/>
        <v>500905.84583333333</v>
      </c>
      <c r="F74" s="24">
        <f>318100*(B$6+1)</f>
        <v>340367</v>
      </c>
      <c r="G74" s="24">
        <f>F74*0.22</f>
        <v>74880.740000000005</v>
      </c>
      <c r="H74" s="24">
        <f t="shared" si="68"/>
        <v>43103.880000000005</v>
      </c>
      <c r="I74" s="24">
        <f t="shared" si="64"/>
        <v>8400</v>
      </c>
      <c r="J74" s="15">
        <v>1926</v>
      </c>
      <c r="K74" s="24">
        <v>0</v>
      </c>
      <c r="L74" s="24">
        <v>93</v>
      </c>
      <c r="M74" s="24">
        <f t="shared" si="69"/>
        <v>3771.3091666666669</v>
      </c>
      <c r="N74" s="24">
        <f t="shared" si="70"/>
        <v>28363.916666666668</v>
      </c>
      <c r="O74" s="24"/>
    </row>
    <row r="75" spans="1:112" x14ac:dyDescent="0.15">
      <c r="A75" s="34" t="s">
        <v>442</v>
      </c>
      <c r="C75" s="16" t="s">
        <v>455</v>
      </c>
      <c r="D75" s="16">
        <v>5</v>
      </c>
      <c r="E75" s="24">
        <f t="shared" ref="E75" si="75">SUM(F75:P75)</f>
        <v>681982.23073333327</v>
      </c>
      <c r="F75" s="24">
        <f>359992*(B$6+1)</f>
        <v>385191.44</v>
      </c>
      <c r="G75" s="24">
        <f t="shared" ref="G75" si="76">F75*0.22</f>
        <v>84742.116800000003</v>
      </c>
      <c r="H75" s="24">
        <f t="shared" si="68"/>
        <v>43103.880000000005</v>
      </c>
      <c r="I75" s="24">
        <f t="shared" si="64"/>
        <v>8400</v>
      </c>
      <c r="J75" s="15">
        <v>1926</v>
      </c>
      <c r="K75" s="24">
        <f t="shared" ref="K75" si="77">10080*12</f>
        <v>120960</v>
      </c>
      <c r="L75" s="24">
        <v>93</v>
      </c>
      <c r="M75" s="24">
        <f t="shared" si="69"/>
        <v>5466.5072666666665</v>
      </c>
      <c r="N75" s="24">
        <f>F75/12</f>
        <v>32099.286666666667</v>
      </c>
      <c r="O75" s="24"/>
    </row>
    <row r="76" spans="1:112" x14ac:dyDescent="0.15">
      <c r="A76" s="34" t="s">
        <v>60</v>
      </c>
      <c r="C76" s="16" t="s">
        <v>27</v>
      </c>
      <c r="D76" s="16">
        <v>6</v>
      </c>
      <c r="E76" s="24">
        <f t="shared" si="66"/>
        <v>507505.60583333333</v>
      </c>
      <c r="F76" s="24">
        <f t="shared" ref="F76:F77" si="78">318100*(B$6+1)</f>
        <v>340367</v>
      </c>
      <c r="G76" s="24">
        <f t="shared" si="74"/>
        <v>74880.740000000005</v>
      </c>
      <c r="H76" s="24">
        <f>3871*(B$7+1)*12</f>
        <v>49703.64</v>
      </c>
      <c r="I76" s="24">
        <f t="shared" si="64"/>
        <v>8400</v>
      </c>
      <c r="J76" s="15">
        <v>1926</v>
      </c>
      <c r="K76" s="24">
        <v>0</v>
      </c>
      <c r="L76" s="24">
        <v>93</v>
      </c>
      <c r="M76" s="24">
        <f t="shared" si="69"/>
        <v>3771.3091666666669</v>
      </c>
      <c r="N76" s="24">
        <f t="shared" ref="N76:N88" si="79">F76/12</f>
        <v>28363.916666666668</v>
      </c>
      <c r="O76" s="24"/>
    </row>
    <row r="77" spans="1:112" x14ac:dyDescent="0.15">
      <c r="A77" s="34" t="s">
        <v>59</v>
      </c>
      <c r="C77" s="34" t="s">
        <v>329</v>
      </c>
      <c r="D77" s="16">
        <v>6</v>
      </c>
      <c r="E77" s="24">
        <f t="shared" si="66"/>
        <v>500905.84583333333</v>
      </c>
      <c r="F77" s="24">
        <f t="shared" si="78"/>
        <v>340367</v>
      </c>
      <c r="G77" s="24">
        <f>F77*0.22</f>
        <v>74880.740000000005</v>
      </c>
      <c r="H77" s="24">
        <f t="shared" si="68"/>
        <v>43103.880000000005</v>
      </c>
      <c r="I77" s="24">
        <f t="shared" si="64"/>
        <v>8400</v>
      </c>
      <c r="J77" s="15">
        <v>1926</v>
      </c>
      <c r="K77" s="24">
        <v>0</v>
      </c>
      <c r="L77" s="24">
        <v>93</v>
      </c>
      <c r="M77" s="24">
        <f t="shared" si="69"/>
        <v>3771.3091666666669</v>
      </c>
      <c r="N77" s="24">
        <f t="shared" si="79"/>
        <v>28363.916666666668</v>
      </c>
      <c r="O77" s="24"/>
    </row>
    <row r="78" spans="1:112" x14ac:dyDescent="0.15">
      <c r="A78" s="59" t="s">
        <v>108</v>
      </c>
      <c r="C78" s="59" t="s">
        <v>32</v>
      </c>
      <c r="D78" s="16">
        <v>8</v>
      </c>
      <c r="E78" s="24">
        <f t="shared" si="66"/>
        <v>397377.43854166666</v>
      </c>
      <c r="F78" s="24">
        <f>244475*(B$6+1)</f>
        <v>261588.25000000003</v>
      </c>
      <c r="G78" s="24">
        <f>F78*0.22</f>
        <v>57549.415000000008</v>
      </c>
      <c r="H78" s="24">
        <f t="shared" si="68"/>
        <v>43103.880000000005</v>
      </c>
      <c r="I78" s="24">
        <f t="shared" si="64"/>
        <v>8400</v>
      </c>
      <c r="J78" s="15">
        <v>1926</v>
      </c>
      <c r="K78" s="24">
        <v>0</v>
      </c>
      <c r="L78" s="24">
        <v>93</v>
      </c>
      <c r="M78" s="24">
        <f t="shared" si="69"/>
        <v>2917.8727083333338</v>
      </c>
      <c r="N78" s="24">
        <f t="shared" si="79"/>
        <v>21799.020833333336</v>
      </c>
      <c r="O78" s="24"/>
    </row>
    <row r="79" spans="1:112" x14ac:dyDescent="0.15">
      <c r="A79" s="34" t="s">
        <v>63</v>
      </c>
      <c r="C79" s="16" t="s">
        <v>29</v>
      </c>
      <c r="D79" s="16">
        <v>8</v>
      </c>
      <c r="E79" s="24">
        <f t="shared" si="66"/>
        <v>503791.0385416667</v>
      </c>
      <c r="F79" s="24">
        <f>244475*(B$6+1)</f>
        <v>261588.25000000003</v>
      </c>
      <c r="G79" s="24">
        <f t="shared" si="74"/>
        <v>57549.415000000008</v>
      </c>
      <c r="H79" s="24">
        <f t="shared" si="68"/>
        <v>43103.880000000005</v>
      </c>
      <c r="I79" s="24">
        <f t="shared" si="64"/>
        <v>8400</v>
      </c>
      <c r="J79" s="15">
        <v>1926</v>
      </c>
      <c r="K79" s="24">
        <f>8780*12</f>
        <v>105360</v>
      </c>
      <c r="L79" s="24">
        <v>93</v>
      </c>
      <c r="M79" s="24">
        <f t="shared" si="69"/>
        <v>3971.4727083333337</v>
      </c>
      <c r="N79" s="24">
        <f t="shared" si="79"/>
        <v>21799.020833333336</v>
      </c>
      <c r="O79" s="24"/>
    </row>
    <row r="80" spans="1:112" s="221" customFormat="1" x14ac:dyDescent="0.15">
      <c r="A80" s="218" t="s">
        <v>494</v>
      </c>
      <c r="B80" s="218"/>
      <c r="C80" s="218" t="s">
        <v>35</v>
      </c>
      <c r="D80" s="218">
        <v>5</v>
      </c>
      <c r="E80" s="219">
        <f t="shared" ref="E80" si="80">SUM(F80:P80)</f>
        <v>681982.23073333327</v>
      </c>
      <c r="F80" s="219">
        <f>359992*(B$6+1)</f>
        <v>385191.44</v>
      </c>
      <c r="G80" s="219">
        <f t="shared" si="74"/>
        <v>84742.116800000003</v>
      </c>
      <c r="H80" s="219">
        <f t="shared" ref="H80" si="81">3357*(B$7+1)*12</f>
        <v>43103.880000000005</v>
      </c>
      <c r="I80" s="219">
        <f t="shared" si="64"/>
        <v>8400</v>
      </c>
      <c r="J80" s="220">
        <v>1926</v>
      </c>
      <c r="K80" s="219">
        <f t="shared" ref="K80" si="82">10080*12</f>
        <v>120960</v>
      </c>
      <c r="L80" s="219">
        <v>93</v>
      </c>
      <c r="M80" s="219">
        <f t="shared" ref="M80" si="83">(N80+I80+K80+F80)*0.01</f>
        <v>5466.5072666666665</v>
      </c>
      <c r="N80" s="219">
        <f>F80/12</f>
        <v>32099.286666666667</v>
      </c>
      <c r="O80" s="219"/>
      <c r="P80" s="219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</row>
    <row r="81" spans="1:112" x14ac:dyDescent="0.15">
      <c r="A81" s="34" t="s">
        <v>326</v>
      </c>
      <c r="C81" s="34" t="s">
        <v>618</v>
      </c>
      <c r="D81" s="16">
        <v>8</v>
      </c>
      <c r="E81" s="24">
        <f t="shared" si="66"/>
        <v>403977.19854166667</v>
      </c>
      <c r="F81" s="24">
        <f>244475*(B$6+1)</f>
        <v>261588.25000000003</v>
      </c>
      <c r="G81" s="24">
        <f t="shared" si="74"/>
        <v>57549.415000000008</v>
      </c>
      <c r="H81" s="24">
        <f>3871*(B$7+1)*12</f>
        <v>49703.64</v>
      </c>
      <c r="I81" s="24">
        <f t="shared" si="64"/>
        <v>8400</v>
      </c>
      <c r="J81" s="15">
        <v>1926</v>
      </c>
      <c r="K81" s="24">
        <v>0</v>
      </c>
      <c r="L81" s="24">
        <v>93</v>
      </c>
      <c r="M81" s="24">
        <f t="shared" si="69"/>
        <v>2917.8727083333338</v>
      </c>
      <c r="N81" s="24">
        <f t="shared" si="79"/>
        <v>21799.020833333336</v>
      </c>
      <c r="O81" s="24"/>
    </row>
    <row r="82" spans="1:112" s="221" customFormat="1" x14ac:dyDescent="0.15">
      <c r="A82" s="218" t="s">
        <v>62</v>
      </c>
      <c r="B82" s="218"/>
      <c r="C82" s="218" t="s">
        <v>35</v>
      </c>
      <c r="D82" s="218">
        <v>8</v>
      </c>
      <c r="E82" s="219">
        <f t="shared" si="66"/>
        <v>0</v>
      </c>
      <c r="F82" s="219">
        <v>0</v>
      </c>
      <c r="G82" s="219">
        <v>0</v>
      </c>
      <c r="H82" s="219">
        <v>0</v>
      </c>
      <c r="I82" s="219">
        <v>0</v>
      </c>
      <c r="J82" s="220">
        <v>0</v>
      </c>
      <c r="K82" s="219">
        <v>0</v>
      </c>
      <c r="L82" s="219">
        <v>0</v>
      </c>
      <c r="M82" s="219">
        <v>0</v>
      </c>
      <c r="N82" s="219">
        <v>0</v>
      </c>
      <c r="O82" s="219"/>
      <c r="P82" s="219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</row>
    <row r="83" spans="1:112" s="221" customFormat="1" x14ac:dyDescent="0.15">
      <c r="A83" s="218" t="s">
        <v>502</v>
      </c>
      <c r="B83" s="218"/>
      <c r="C83" s="218" t="s">
        <v>35</v>
      </c>
      <c r="D83" s="218">
        <v>5</v>
      </c>
      <c r="E83" s="219">
        <f t="shared" ref="E83:E84" si="84">SUM(F83:P83)</f>
        <v>681982.23073333327</v>
      </c>
      <c r="F83" s="219">
        <f>359992*(B$6+1)</f>
        <v>385191.44</v>
      </c>
      <c r="G83" s="219">
        <f t="shared" ref="G83:G84" si="85">F83*0.22</f>
        <v>84742.116800000003</v>
      </c>
      <c r="H83" s="219">
        <f t="shared" ref="H83:H84" si="86">3357*(B$7+1)*12</f>
        <v>43103.880000000005</v>
      </c>
      <c r="I83" s="219">
        <f t="shared" si="64"/>
        <v>8400</v>
      </c>
      <c r="J83" s="220">
        <v>1926</v>
      </c>
      <c r="K83" s="219">
        <f t="shared" ref="K83" si="87">10080*12</f>
        <v>120960</v>
      </c>
      <c r="L83" s="219">
        <v>93</v>
      </c>
      <c r="M83" s="219">
        <f t="shared" ref="M83:M84" si="88">(N83+I83+K83+F83)*0.01</f>
        <v>5466.5072666666665</v>
      </c>
      <c r="N83" s="219">
        <f>F83/12</f>
        <v>32099.286666666667</v>
      </c>
      <c r="O83" s="219"/>
      <c r="P83" s="219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</row>
    <row r="84" spans="1:112" x14ac:dyDescent="0.15">
      <c r="A84" s="34" t="s">
        <v>58</v>
      </c>
      <c r="C84" s="16" t="s">
        <v>532</v>
      </c>
      <c r="D84" s="16">
        <v>8</v>
      </c>
      <c r="E84" s="24">
        <f t="shared" si="84"/>
        <v>397377.43854166666</v>
      </c>
      <c r="F84" s="24">
        <f>244475*(B$6+1)</f>
        <v>261588.25000000003</v>
      </c>
      <c r="G84" s="24">
        <f t="shared" si="85"/>
        <v>57549.415000000008</v>
      </c>
      <c r="H84" s="24">
        <f t="shared" si="86"/>
        <v>43103.880000000005</v>
      </c>
      <c r="I84" s="24">
        <f t="shared" si="64"/>
        <v>8400</v>
      </c>
      <c r="J84" s="15">
        <v>1926</v>
      </c>
      <c r="K84" s="24">
        <f t="shared" ref="K84:K88" si="89">0*12</f>
        <v>0</v>
      </c>
      <c r="L84" s="24">
        <v>93</v>
      </c>
      <c r="M84" s="24">
        <f t="shared" si="88"/>
        <v>2917.8727083333338</v>
      </c>
      <c r="N84" s="24">
        <f t="shared" ref="N84" si="90">F84/12</f>
        <v>21799.020833333336</v>
      </c>
      <c r="O84" s="24"/>
    </row>
    <row r="85" spans="1:112" x14ac:dyDescent="0.15">
      <c r="A85" s="34" t="s">
        <v>63</v>
      </c>
      <c r="C85" s="16" t="s">
        <v>28</v>
      </c>
      <c r="D85" s="16">
        <v>7</v>
      </c>
      <c r="E85" s="24">
        <f t="shared" si="66"/>
        <v>524498.12615833327</v>
      </c>
      <c r="F85" s="24">
        <f>259201*(B$6+1)</f>
        <v>277345.07</v>
      </c>
      <c r="G85" s="24">
        <f t="shared" si="74"/>
        <v>61015.915400000005</v>
      </c>
      <c r="H85" s="24">
        <f t="shared" si="68"/>
        <v>43103.880000000005</v>
      </c>
      <c r="I85" s="24">
        <f t="shared" si="64"/>
        <v>8400</v>
      </c>
      <c r="J85" s="15">
        <v>1926</v>
      </c>
      <c r="K85" s="24">
        <f>8780*12</f>
        <v>105360</v>
      </c>
      <c r="L85" s="24">
        <v>93</v>
      </c>
      <c r="M85" s="24">
        <f t="shared" si="69"/>
        <v>4142.1715916666672</v>
      </c>
      <c r="N85" s="24">
        <f t="shared" si="79"/>
        <v>23112.089166666668</v>
      </c>
      <c r="O85" s="24"/>
    </row>
    <row r="86" spans="1:112" x14ac:dyDescent="0.15">
      <c r="A86" s="34" t="s">
        <v>64</v>
      </c>
      <c r="C86" s="16" t="s">
        <v>30</v>
      </c>
      <c r="D86" s="16">
        <v>8</v>
      </c>
      <c r="E86" s="24">
        <f t="shared" si="66"/>
        <v>403977.19854166667</v>
      </c>
      <c r="F86" s="24">
        <f>244475*(B$6+1)</f>
        <v>261588.25000000003</v>
      </c>
      <c r="G86" s="24">
        <f t="shared" si="74"/>
        <v>57549.415000000008</v>
      </c>
      <c r="H86" s="24">
        <f>3871*(B$7+1)*12</f>
        <v>49703.64</v>
      </c>
      <c r="I86" s="24">
        <f t="shared" si="64"/>
        <v>8400</v>
      </c>
      <c r="J86" s="15">
        <v>1926</v>
      </c>
      <c r="K86" s="24">
        <f t="shared" si="89"/>
        <v>0</v>
      </c>
      <c r="L86" s="24">
        <v>93</v>
      </c>
      <c r="M86" s="24">
        <f t="shared" si="69"/>
        <v>2917.8727083333338</v>
      </c>
      <c r="N86" s="24">
        <f t="shared" si="79"/>
        <v>21799.020833333336</v>
      </c>
      <c r="O86" s="24"/>
    </row>
    <row r="87" spans="1:112" x14ac:dyDescent="0.15">
      <c r="A87" s="34" t="s">
        <v>65</v>
      </c>
      <c r="C87" s="16" t="s">
        <v>31</v>
      </c>
      <c r="D87" s="16">
        <v>9</v>
      </c>
      <c r="E87" s="24">
        <f t="shared" si="66"/>
        <v>357252.71050000004</v>
      </c>
      <c r="F87" s="24">
        <f>215940*(B$6+1)</f>
        <v>231055.80000000002</v>
      </c>
      <c r="G87" s="24">
        <f t="shared" si="74"/>
        <v>50832.276000000005</v>
      </c>
      <c r="H87" s="24">
        <f t="shared" si="68"/>
        <v>43103.880000000005</v>
      </c>
      <c r="I87" s="24">
        <f t="shared" si="64"/>
        <v>8400</v>
      </c>
      <c r="J87" s="15">
        <v>1926</v>
      </c>
      <c r="K87" s="24">
        <f t="shared" si="89"/>
        <v>0</v>
      </c>
      <c r="L87" s="24">
        <v>93</v>
      </c>
      <c r="M87" s="24">
        <f t="shared" si="69"/>
        <v>2587.1045000000004</v>
      </c>
      <c r="N87" s="24">
        <f t="shared" si="79"/>
        <v>19254.650000000001</v>
      </c>
      <c r="O87" s="24"/>
    </row>
    <row r="88" spans="1:112" s="34" customFormat="1" x14ac:dyDescent="0.15">
      <c r="A88" s="34" t="s">
        <v>60</v>
      </c>
      <c r="C88" s="34" t="s">
        <v>330</v>
      </c>
      <c r="D88" s="34">
        <v>7</v>
      </c>
      <c r="E88" s="24">
        <f t="shared" si="66"/>
        <v>440299.01550833328</v>
      </c>
      <c r="F88" s="24">
        <f>274999*(B$6+1)</f>
        <v>294248.93</v>
      </c>
      <c r="G88" s="24">
        <f t="shared" si="74"/>
        <v>64734.764600000002</v>
      </c>
      <c r="H88" s="24">
        <f t="shared" si="68"/>
        <v>43103.880000000005</v>
      </c>
      <c r="I88" s="24">
        <f t="shared" si="64"/>
        <v>8400</v>
      </c>
      <c r="J88" s="15">
        <v>1926</v>
      </c>
      <c r="K88" s="24">
        <f t="shared" si="89"/>
        <v>0</v>
      </c>
      <c r="L88" s="24">
        <v>93</v>
      </c>
      <c r="M88" s="24">
        <f t="shared" si="69"/>
        <v>3271.6967416666671</v>
      </c>
      <c r="N88" s="24">
        <f t="shared" si="79"/>
        <v>24520.744166666667</v>
      </c>
      <c r="O88" s="24"/>
      <c r="P88" s="56"/>
    </row>
    <row r="89" spans="1:112" x14ac:dyDescent="0.15">
      <c r="A89" s="34" t="s">
        <v>519</v>
      </c>
      <c r="B89" s="22"/>
      <c r="C89" s="16" t="s">
        <v>414</v>
      </c>
      <c r="D89" s="16">
        <v>8</v>
      </c>
      <c r="E89" s="24">
        <f t="shared" si="66"/>
        <v>503791.0385416667</v>
      </c>
      <c r="F89" s="24">
        <f>244475*(B$6+1)</f>
        <v>261588.25000000003</v>
      </c>
      <c r="G89" s="24">
        <f>F89*0.22</f>
        <v>57549.415000000008</v>
      </c>
      <c r="H89" s="24">
        <f t="shared" si="68"/>
        <v>43103.880000000005</v>
      </c>
      <c r="I89" s="24">
        <f t="shared" si="64"/>
        <v>8400</v>
      </c>
      <c r="J89" s="15">
        <v>1926</v>
      </c>
      <c r="K89" s="24">
        <f>8780*12</f>
        <v>105360</v>
      </c>
      <c r="L89" s="24">
        <v>93</v>
      </c>
      <c r="M89" s="24">
        <f t="shared" si="69"/>
        <v>3971.4727083333337</v>
      </c>
      <c r="N89" s="24">
        <f>F89/12</f>
        <v>21799.020833333336</v>
      </c>
      <c r="O89" s="24"/>
    </row>
    <row r="90" spans="1:112" x14ac:dyDescent="0.15">
      <c r="A90" s="34" t="s">
        <v>599</v>
      </c>
      <c r="B90" s="22"/>
      <c r="C90" s="16" t="s">
        <v>600</v>
      </c>
      <c r="E90" s="24">
        <f t="shared" si="66"/>
        <v>129079.99</v>
      </c>
      <c r="F90" s="24">
        <f>119157*(B$6+1)</f>
        <v>127497.99</v>
      </c>
      <c r="G90" s="24">
        <v>1489</v>
      </c>
      <c r="H90" s="24"/>
      <c r="I90" s="24"/>
      <c r="J90" s="15"/>
      <c r="K90" s="24"/>
      <c r="L90" s="24">
        <v>93</v>
      </c>
      <c r="M90" s="24"/>
      <c r="N90" s="24"/>
      <c r="O90" s="24"/>
    </row>
    <row r="91" spans="1:112" x14ac:dyDescent="0.15">
      <c r="A91" s="34" t="s">
        <v>599</v>
      </c>
      <c r="B91" s="22"/>
      <c r="C91" s="16" t="s">
        <v>601</v>
      </c>
      <c r="E91" s="24">
        <f t="shared" si="66"/>
        <v>129079.99</v>
      </c>
      <c r="F91" s="24">
        <f t="shared" ref="F91:F95" si="91">119157*(B$6+1)</f>
        <v>127497.99</v>
      </c>
      <c r="G91" s="24">
        <v>1489</v>
      </c>
      <c r="H91" s="24"/>
      <c r="I91" s="24"/>
      <c r="J91" s="15"/>
      <c r="K91" s="24"/>
      <c r="L91" s="24">
        <v>93</v>
      </c>
      <c r="M91" s="24"/>
      <c r="N91" s="24"/>
      <c r="O91" s="24"/>
    </row>
    <row r="92" spans="1:112" x14ac:dyDescent="0.15">
      <c r="A92" s="34" t="s">
        <v>599</v>
      </c>
      <c r="B92" s="22"/>
      <c r="C92" s="16" t="s">
        <v>605</v>
      </c>
      <c r="E92" s="24">
        <f t="shared" si="66"/>
        <v>129079.99</v>
      </c>
      <c r="F92" s="24">
        <f t="shared" si="91"/>
        <v>127497.99</v>
      </c>
      <c r="G92" s="24">
        <v>1489</v>
      </c>
      <c r="H92" s="24"/>
      <c r="I92" s="24"/>
      <c r="J92" s="15"/>
      <c r="K92" s="24"/>
      <c r="L92" s="24">
        <v>93</v>
      </c>
      <c r="M92" s="24"/>
      <c r="N92" s="24"/>
      <c r="O92" s="24"/>
    </row>
    <row r="93" spans="1:112" x14ac:dyDescent="0.15">
      <c r="A93" s="34" t="s">
        <v>599</v>
      </c>
      <c r="B93" s="22"/>
      <c r="C93" s="16" t="s">
        <v>602</v>
      </c>
      <c r="E93" s="24">
        <f t="shared" si="66"/>
        <v>129079.99</v>
      </c>
      <c r="F93" s="24">
        <f t="shared" si="91"/>
        <v>127497.99</v>
      </c>
      <c r="G93" s="24">
        <v>1489</v>
      </c>
      <c r="H93" s="24"/>
      <c r="I93" s="24"/>
      <c r="J93" s="15"/>
      <c r="K93" s="24"/>
      <c r="L93" s="24">
        <v>93</v>
      </c>
      <c r="M93" s="24"/>
      <c r="N93" s="24"/>
      <c r="O93" s="24"/>
    </row>
    <row r="94" spans="1:112" x14ac:dyDescent="0.15">
      <c r="A94" s="34" t="s">
        <v>599</v>
      </c>
      <c r="B94" s="22"/>
      <c r="C94" s="16" t="s">
        <v>603</v>
      </c>
      <c r="E94" s="24">
        <f t="shared" si="66"/>
        <v>129079.99</v>
      </c>
      <c r="F94" s="24">
        <f t="shared" si="91"/>
        <v>127497.99</v>
      </c>
      <c r="G94" s="24">
        <v>1489</v>
      </c>
      <c r="H94" s="24"/>
      <c r="I94" s="24"/>
      <c r="J94" s="15"/>
      <c r="K94" s="24"/>
      <c r="L94" s="24">
        <v>93</v>
      </c>
      <c r="M94" s="24"/>
      <c r="N94" s="24"/>
      <c r="O94" s="24"/>
    </row>
    <row r="95" spans="1:112" x14ac:dyDescent="0.15">
      <c r="A95" s="34" t="s">
        <v>599</v>
      </c>
      <c r="B95" s="22"/>
      <c r="C95" s="16" t="s">
        <v>604</v>
      </c>
      <c r="E95" s="24">
        <f t="shared" si="66"/>
        <v>129079.99</v>
      </c>
      <c r="F95" s="24">
        <f t="shared" si="91"/>
        <v>127497.99</v>
      </c>
      <c r="G95" s="24">
        <v>1489</v>
      </c>
      <c r="H95" s="24"/>
      <c r="I95" s="24"/>
      <c r="J95" s="15"/>
      <c r="K95" s="24"/>
      <c r="L95" s="24">
        <v>93</v>
      </c>
      <c r="M95" s="24"/>
      <c r="N95" s="24"/>
      <c r="O95" s="24"/>
    </row>
    <row r="96" spans="1:112" x14ac:dyDescent="0.15">
      <c r="A96" s="34" t="s">
        <v>372</v>
      </c>
      <c r="B96" s="32"/>
      <c r="E96" s="24">
        <f t="shared" si="66"/>
        <v>0</v>
      </c>
      <c r="F96" s="24"/>
      <c r="G96" s="24"/>
      <c r="H96" s="24"/>
      <c r="I96" s="24"/>
      <c r="J96" s="15"/>
      <c r="K96" s="24"/>
      <c r="L96" s="24"/>
      <c r="M96" s="24"/>
      <c r="N96" s="24"/>
      <c r="O96" s="24"/>
    </row>
    <row r="97" spans="1:112" x14ac:dyDescent="0.15">
      <c r="A97" s="34" t="s">
        <v>193</v>
      </c>
      <c r="B97" s="32"/>
      <c r="E97" s="24">
        <f t="shared" si="66"/>
        <v>150000</v>
      </c>
      <c r="F97" s="24"/>
      <c r="G97" s="24"/>
      <c r="H97" s="24"/>
      <c r="I97" s="24"/>
      <c r="J97" s="15"/>
      <c r="K97" s="24"/>
      <c r="L97" s="24"/>
      <c r="M97" s="24"/>
      <c r="N97" s="24"/>
      <c r="O97" s="24">
        <v>150000</v>
      </c>
    </row>
    <row r="98" spans="1:112" x14ac:dyDescent="0.15">
      <c r="A98" s="34" t="s">
        <v>200</v>
      </c>
      <c r="B98" s="32"/>
      <c r="C98" s="16" t="s">
        <v>200</v>
      </c>
      <c r="E98" s="24">
        <f t="shared" si="66"/>
        <v>50192</v>
      </c>
      <c r="F98" s="24"/>
      <c r="G98" s="24"/>
      <c r="H98" s="24"/>
      <c r="I98" s="24"/>
      <c r="J98" s="15"/>
      <c r="K98" s="24"/>
      <c r="L98" s="24"/>
      <c r="M98" s="24"/>
      <c r="N98" s="24"/>
      <c r="O98" s="24"/>
      <c r="P98" s="24">
        <v>50192</v>
      </c>
    </row>
    <row r="99" spans="1:112" ht="14" thickBot="1" x14ac:dyDescent="0.2">
      <c r="E99" s="39">
        <f>SUM(E65:E98)</f>
        <v>17392967.744858332</v>
      </c>
      <c r="F99" s="39">
        <f t="shared" ref="F99:P99" si="92">SUM(F65:F98)</f>
        <v>10590580.730000002</v>
      </c>
      <c r="G99" s="39">
        <f t="shared" si="92"/>
        <v>2170564.4138000002</v>
      </c>
      <c r="H99" s="39">
        <f t="shared" si="92"/>
        <v>1056886.08</v>
      </c>
      <c r="I99" s="39">
        <f t="shared" si="92"/>
        <v>193200</v>
      </c>
      <c r="J99" s="39">
        <f t="shared" si="92"/>
        <v>46224</v>
      </c>
      <c r="K99" s="39">
        <f t="shared" si="92"/>
        <v>2183520</v>
      </c>
      <c r="L99" s="39">
        <f t="shared" si="92"/>
        <v>2790</v>
      </c>
      <c r="M99" s="39">
        <f t="shared" si="92"/>
        <v>130211.12189166671</v>
      </c>
      <c r="N99" s="39">
        <f t="shared" si="92"/>
        <v>818799.39916666679</v>
      </c>
      <c r="O99" s="39">
        <f t="shared" si="92"/>
        <v>150000</v>
      </c>
      <c r="P99" s="39">
        <f t="shared" si="92"/>
        <v>50192</v>
      </c>
    </row>
    <row r="100" spans="1:112" ht="14" thickTop="1" x14ac:dyDescent="0.15">
      <c r="C100" s="16" t="s">
        <v>237</v>
      </c>
      <c r="D100" s="16">
        <f>COUNT(D65:D99)</f>
        <v>22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12" x14ac:dyDescent="0.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12" x14ac:dyDescent="0.15">
      <c r="A102" s="45" t="s">
        <v>21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12" x14ac:dyDescent="0.15">
      <c r="C103" s="16" t="s">
        <v>212</v>
      </c>
      <c r="D103" s="38" t="s">
        <v>213</v>
      </c>
      <c r="E103" s="38" t="s">
        <v>214</v>
      </c>
      <c r="F103" s="38" t="s">
        <v>215</v>
      </c>
      <c r="G103" s="38" t="s">
        <v>216</v>
      </c>
      <c r="H103" s="38" t="s">
        <v>217</v>
      </c>
      <c r="I103" s="38" t="s">
        <v>218</v>
      </c>
      <c r="J103" s="38" t="s">
        <v>219</v>
      </c>
      <c r="K103" s="38" t="s">
        <v>220</v>
      </c>
      <c r="L103" s="38" t="s">
        <v>221</v>
      </c>
      <c r="M103" s="38" t="s">
        <v>222</v>
      </c>
      <c r="N103" s="38" t="s">
        <v>223</v>
      </c>
      <c r="O103" s="38" t="s">
        <v>421</v>
      </c>
      <c r="P103" s="24" t="s">
        <v>200</v>
      </c>
    </row>
    <row r="104" spans="1:112" x14ac:dyDescent="0.15">
      <c r="D104" s="38" t="s">
        <v>224</v>
      </c>
      <c r="E104" s="38" t="s">
        <v>225</v>
      </c>
      <c r="F104" s="38"/>
      <c r="G104" s="38" t="s">
        <v>226</v>
      </c>
      <c r="H104" s="38" t="s">
        <v>226</v>
      </c>
      <c r="I104" s="38" t="s">
        <v>227</v>
      </c>
      <c r="J104" s="38"/>
      <c r="K104" s="38" t="s">
        <v>228</v>
      </c>
      <c r="L104" s="38" t="s">
        <v>229</v>
      </c>
      <c r="M104" s="38" t="s">
        <v>230</v>
      </c>
      <c r="N104" s="38" t="s">
        <v>231</v>
      </c>
      <c r="O104" s="38" t="s">
        <v>228</v>
      </c>
    </row>
    <row r="105" spans="1:112" x14ac:dyDescent="0.15">
      <c r="A105" s="174" t="s">
        <v>66</v>
      </c>
      <c r="C105" s="16" t="s">
        <v>37</v>
      </c>
      <c r="D105" s="16">
        <v>0</v>
      </c>
      <c r="E105" s="24">
        <f>SUM(F105:P105)</f>
        <v>1147176.6665999999</v>
      </c>
      <c r="F105" s="24">
        <f>587967*(B$6+1)</f>
        <v>629124.69000000006</v>
      </c>
      <c r="G105" s="24">
        <f>51304+(51304*9.5%)</f>
        <v>56177.88</v>
      </c>
      <c r="H105" s="24">
        <f>3871*(B$7+1)*12</f>
        <v>49703.64</v>
      </c>
      <c r="I105" s="24">
        <f>0*12</f>
        <v>0</v>
      </c>
      <c r="J105" s="15">
        <v>0</v>
      </c>
      <c r="K105" s="24">
        <f>27000*12</f>
        <v>324000</v>
      </c>
      <c r="L105" s="24">
        <v>93</v>
      </c>
      <c r="M105" s="24">
        <v>0</v>
      </c>
      <c r="N105" s="24">
        <f>F105*0.14</f>
        <v>88077.45660000002</v>
      </c>
      <c r="O105" s="24"/>
    </row>
    <row r="106" spans="1:112" x14ac:dyDescent="0.15">
      <c r="A106" s="34" t="s">
        <v>503</v>
      </c>
      <c r="C106" s="16" t="s">
        <v>533</v>
      </c>
      <c r="D106" s="16">
        <v>3</v>
      </c>
      <c r="E106" s="24">
        <f t="shared" ref="E106" si="93">SUM(F106:P106)</f>
        <v>865425.42264999996</v>
      </c>
      <c r="F106" s="24">
        <f t="shared" ref="F106:F107" si="94">474762*(B$6+1)</f>
        <v>507995.34</v>
      </c>
      <c r="G106" s="24">
        <f>F106*0.22</f>
        <v>111758.97480000001</v>
      </c>
      <c r="H106" s="24">
        <f t="shared" ref="H106" si="95">3357*(B$7+1)*12</f>
        <v>43103.880000000005</v>
      </c>
      <c r="I106" s="24">
        <f t="shared" ref="I106:I131" si="96">700*12</f>
        <v>8400</v>
      </c>
      <c r="J106" s="15">
        <v>1926</v>
      </c>
      <c r="K106" s="24">
        <f t="shared" ref="K106:K107" si="97">11900*12</f>
        <v>142800</v>
      </c>
      <c r="L106" s="24">
        <v>93</v>
      </c>
      <c r="M106" s="24">
        <f t="shared" ref="M106" si="98">(N106+I106+K106+F106)*0.01</f>
        <v>7015.2828500000005</v>
      </c>
      <c r="N106" s="24">
        <f>F106/12</f>
        <v>42332.945</v>
      </c>
      <c r="O106" s="24"/>
    </row>
    <row r="107" spans="1:112" x14ac:dyDescent="0.15">
      <c r="A107" s="34" t="s">
        <v>138</v>
      </c>
      <c r="C107" s="34" t="s">
        <v>397</v>
      </c>
      <c r="D107" s="16">
        <v>3</v>
      </c>
      <c r="E107" s="24">
        <f t="shared" ref="E107:E134" si="99">SUM(F107:P107)</f>
        <v>865425.42264999996</v>
      </c>
      <c r="F107" s="24">
        <f t="shared" si="94"/>
        <v>507995.34</v>
      </c>
      <c r="G107" s="24">
        <f>F107*0.22</f>
        <v>111758.97480000001</v>
      </c>
      <c r="H107" s="24">
        <f t="shared" ref="H107:H131" si="100">3357*(B$7+1)*12</f>
        <v>43103.880000000005</v>
      </c>
      <c r="I107" s="24">
        <f t="shared" si="96"/>
        <v>8400</v>
      </c>
      <c r="J107" s="15">
        <v>1926</v>
      </c>
      <c r="K107" s="24">
        <f t="shared" si="97"/>
        <v>142800</v>
      </c>
      <c r="L107" s="24">
        <v>93</v>
      </c>
      <c r="M107" s="24">
        <f t="shared" ref="M107:M119" si="101">(N107+I107+K107+F107)*0.01</f>
        <v>7015.2828500000005</v>
      </c>
      <c r="N107" s="24">
        <f>F107/12</f>
        <v>42332.945</v>
      </c>
      <c r="O107" s="24"/>
    </row>
    <row r="108" spans="1:112" x14ac:dyDescent="0.15">
      <c r="A108" s="218" t="s">
        <v>507</v>
      </c>
      <c r="C108" s="218" t="s">
        <v>35</v>
      </c>
      <c r="D108" s="218">
        <v>3</v>
      </c>
      <c r="E108" s="24"/>
      <c r="F108" s="24"/>
      <c r="G108" s="24"/>
      <c r="H108" s="24"/>
      <c r="I108" s="24"/>
      <c r="J108" s="15"/>
      <c r="K108" s="24"/>
      <c r="L108" s="24"/>
      <c r="M108" s="24"/>
      <c r="N108" s="24"/>
      <c r="O108" s="24"/>
    </row>
    <row r="109" spans="1:112" s="53" customFormat="1" x14ac:dyDescent="0.15">
      <c r="A109" s="34" t="s">
        <v>74</v>
      </c>
      <c r="B109" s="34"/>
      <c r="C109" s="34" t="s">
        <v>80</v>
      </c>
      <c r="D109" s="16">
        <v>4</v>
      </c>
      <c r="E109" s="24">
        <f t="shared" si="99"/>
        <v>777634.7452</v>
      </c>
      <c r="F109" s="24">
        <f>428016*(B$6+1)</f>
        <v>457977.12000000005</v>
      </c>
      <c r="G109" s="24">
        <f>F109*0.22</f>
        <v>100754.96640000002</v>
      </c>
      <c r="H109" s="24">
        <f t="shared" si="100"/>
        <v>43103.880000000005</v>
      </c>
      <c r="I109" s="24">
        <f t="shared" si="96"/>
        <v>8400</v>
      </c>
      <c r="J109" s="15">
        <v>1926</v>
      </c>
      <c r="K109" s="24">
        <f t="shared" ref="K109:K110" si="102">10080*12</f>
        <v>120960</v>
      </c>
      <c r="L109" s="24">
        <v>93</v>
      </c>
      <c r="M109" s="24">
        <f t="shared" si="101"/>
        <v>6255.0188000000016</v>
      </c>
      <c r="N109" s="24">
        <f t="shared" ref="N109" si="103">F109/12</f>
        <v>38164.76</v>
      </c>
      <c r="O109" s="24"/>
      <c r="P109" s="57"/>
    </row>
    <row r="110" spans="1:112" x14ac:dyDescent="0.15">
      <c r="A110" s="34" t="s">
        <v>508</v>
      </c>
      <c r="C110" s="16" t="s">
        <v>39</v>
      </c>
      <c r="D110" s="16">
        <v>5</v>
      </c>
      <c r="E110" s="24">
        <f t="shared" si="99"/>
        <v>686848.59073333326</v>
      </c>
      <c r="F110" s="24">
        <f>359992*(B$6+1)</f>
        <v>385191.44</v>
      </c>
      <c r="G110" s="24">
        <f t="shared" ref="G110:G112" si="104">F110*0.22</f>
        <v>84742.116800000003</v>
      </c>
      <c r="H110" s="24">
        <f>3736*(B$7+1)*12</f>
        <v>47970.240000000005</v>
      </c>
      <c r="I110" s="24">
        <f t="shared" si="96"/>
        <v>8400</v>
      </c>
      <c r="J110" s="15">
        <v>1926</v>
      </c>
      <c r="K110" s="24">
        <f t="shared" si="102"/>
        <v>120960</v>
      </c>
      <c r="L110" s="24">
        <v>93</v>
      </c>
      <c r="M110" s="24">
        <f t="shared" si="101"/>
        <v>5466.5072666666665</v>
      </c>
      <c r="N110" s="24">
        <f>F110/12</f>
        <v>32099.286666666667</v>
      </c>
      <c r="O110" s="24"/>
    </row>
    <row r="111" spans="1:112" x14ac:dyDescent="0.15">
      <c r="A111" s="34" t="s">
        <v>234</v>
      </c>
      <c r="C111" s="16" t="s">
        <v>398</v>
      </c>
      <c r="D111" s="16">
        <v>6</v>
      </c>
      <c r="E111" s="24">
        <f t="shared" si="99"/>
        <v>500905.84583333333</v>
      </c>
      <c r="F111" s="24">
        <f>318100*(B$6+1)</f>
        <v>340367</v>
      </c>
      <c r="G111" s="24">
        <f t="shared" si="104"/>
        <v>74880.740000000005</v>
      </c>
      <c r="H111" s="24">
        <f t="shared" si="100"/>
        <v>43103.880000000005</v>
      </c>
      <c r="I111" s="24">
        <f t="shared" si="96"/>
        <v>8400</v>
      </c>
      <c r="J111" s="15">
        <v>1926</v>
      </c>
      <c r="K111" s="24">
        <f>0*12</f>
        <v>0</v>
      </c>
      <c r="L111" s="24">
        <v>93</v>
      </c>
      <c r="M111" s="24">
        <f t="shared" si="101"/>
        <v>3771.3091666666669</v>
      </c>
      <c r="N111" s="24">
        <f t="shared" ref="N111:N113" si="105">F111/12</f>
        <v>28363.916666666668</v>
      </c>
      <c r="O111" s="24"/>
    </row>
    <row r="112" spans="1:112" s="150" customFormat="1" x14ac:dyDescent="0.15">
      <c r="A112" s="34" t="s">
        <v>556</v>
      </c>
      <c r="B112" s="243"/>
      <c r="C112" s="34" t="s">
        <v>576</v>
      </c>
      <c r="D112" s="34">
        <v>5</v>
      </c>
      <c r="E112" s="56">
        <f t="shared" ref="E112" si="106">SUM(F112:P112)</f>
        <v>681982.23073333327</v>
      </c>
      <c r="F112" s="24">
        <f>359992*(B$6+1)</f>
        <v>385191.44</v>
      </c>
      <c r="G112" s="56">
        <f t="shared" si="104"/>
        <v>84742.116800000003</v>
      </c>
      <c r="H112" s="56">
        <f t="shared" si="100"/>
        <v>43103.880000000005</v>
      </c>
      <c r="I112" s="24">
        <f t="shared" si="96"/>
        <v>8400</v>
      </c>
      <c r="J112" s="15">
        <v>1926</v>
      </c>
      <c r="K112" s="56">
        <f>10080*12</f>
        <v>120960</v>
      </c>
      <c r="L112" s="24">
        <v>93</v>
      </c>
      <c r="M112" s="56">
        <f t="shared" si="101"/>
        <v>5466.5072666666665</v>
      </c>
      <c r="N112" s="56">
        <f t="shared" si="105"/>
        <v>32099.286666666667</v>
      </c>
      <c r="O112" s="56"/>
      <c r="P112" s="56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</row>
    <row r="113" spans="1:16" x14ac:dyDescent="0.15">
      <c r="A113" s="16" t="s">
        <v>87</v>
      </c>
      <c r="C113" s="16" t="s">
        <v>88</v>
      </c>
      <c r="D113" s="16">
        <v>6</v>
      </c>
      <c r="E113" s="24">
        <f t="shared" si="99"/>
        <v>629675.20583333331</v>
      </c>
      <c r="F113" s="24">
        <f>318100*(B$6+1)</f>
        <v>340367</v>
      </c>
      <c r="G113" s="24">
        <f t="shared" ref="G113:G124" si="107">F113*0.22</f>
        <v>74880.740000000005</v>
      </c>
      <c r="H113" s="24">
        <f>3871*(B$7+1)*12</f>
        <v>49703.64</v>
      </c>
      <c r="I113" s="24">
        <f t="shared" si="96"/>
        <v>8400</v>
      </c>
      <c r="J113" s="15">
        <v>1926</v>
      </c>
      <c r="K113" s="56">
        <f>10080*12</f>
        <v>120960</v>
      </c>
      <c r="L113" s="24">
        <v>93</v>
      </c>
      <c r="M113" s="24">
        <f t="shared" si="101"/>
        <v>4980.9091666666673</v>
      </c>
      <c r="N113" s="24">
        <f t="shared" si="105"/>
        <v>28363.916666666668</v>
      </c>
      <c r="O113" s="24"/>
    </row>
    <row r="114" spans="1:16" x14ac:dyDescent="0.15">
      <c r="A114" s="34" t="s">
        <v>504</v>
      </c>
      <c r="B114" s="32"/>
      <c r="C114" s="16" t="s">
        <v>534</v>
      </c>
      <c r="D114" s="59">
        <v>8</v>
      </c>
      <c r="E114" s="24">
        <f t="shared" si="99"/>
        <v>380680.7144916667</v>
      </c>
      <c r="F114" s="24">
        <f>232601*(B$6+1)</f>
        <v>248883.07</v>
      </c>
      <c r="G114" s="24">
        <f>F114*0.22</f>
        <v>54754.275399999999</v>
      </c>
      <c r="H114" s="24">
        <f t="shared" si="100"/>
        <v>43103.880000000005</v>
      </c>
      <c r="I114" s="24">
        <f t="shared" si="96"/>
        <v>8400</v>
      </c>
      <c r="J114" s="15">
        <v>1926</v>
      </c>
      <c r="K114" s="24">
        <v>0</v>
      </c>
      <c r="L114" s="24">
        <v>93</v>
      </c>
      <c r="M114" s="24">
        <f t="shared" si="101"/>
        <v>2780.2332583333337</v>
      </c>
      <c r="N114" s="24">
        <f>F114/12</f>
        <v>20740.255833333333</v>
      </c>
      <c r="O114" s="24"/>
    </row>
    <row r="115" spans="1:16" x14ac:dyDescent="0.15">
      <c r="A115" s="34" t="s">
        <v>509</v>
      </c>
      <c r="B115" s="32"/>
      <c r="C115" s="16" t="s">
        <v>535</v>
      </c>
      <c r="D115" s="59">
        <v>8</v>
      </c>
      <c r="E115" s="24">
        <f t="shared" ref="E115" si="108">SUM(F115:P115)</f>
        <v>380680.7144916667</v>
      </c>
      <c r="F115" s="24">
        <f>232601*(B$6+1)</f>
        <v>248883.07</v>
      </c>
      <c r="G115" s="24">
        <f t="shared" ref="G115" si="109">F115*0.22</f>
        <v>54754.275399999999</v>
      </c>
      <c r="H115" s="24">
        <f t="shared" ref="H115" si="110">3357*(B$7+1)*12</f>
        <v>43103.880000000005</v>
      </c>
      <c r="I115" s="24">
        <f t="shared" si="96"/>
        <v>8400</v>
      </c>
      <c r="J115" s="15">
        <v>1926</v>
      </c>
      <c r="K115" s="24">
        <f>0*12</f>
        <v>0</v>
      </c>
      <c r="L115" s="24">
        <v>93</v>
      </c>
      <c r="M115" s="24">
        <f t="shared" ref="M115" si="111">(N115+I115+K115+F115)*0.01</f>
        <v>2780.2332583333337</v>
      </c>
      <c r="N115" s="24">
        <f>F115/12</f>
        <v>20740.255833333333</v>
      </c>
      <c r="O115" s="24"/>
    </row>
    <row r="116" spans="1:16" x14ac:dyDescent="0.15">
      <c r="A116" s="34" t="s">
        <v>520</v>
      </c>
      <c r="B116" s="21"/>
      <c r="C116" s="16" t="s">
        <v>142</v>
      </c>
      <c r="D116" s="16">
        <v>8</v>
      </c>
      <c r="E116" s="24">
        <f t="shared" si="99"/>
        <v>403977.19854166667</v>
      </c>
      <c r="F116" s="24">
        <f>244475*(B$6+1)</f>
        <v>261588.25000000003</v>
      </c>
      <c r="G116" s="24">
        <f t="shared" si="107"/>
        <v>57549.415000000008</v>
      </c>
      <c r="H116" s="24">
        <f>3871*(B$7+1)*12</f>
        <v>49703.64</v>
      </c>
      <c r="I116" s="24">
        <f t="shared" si="96"/>
        <v>8400</v>
      </c>
      <c r="J116" s="15">
        <v>1926</v>
      </c>
      <c r="K116" s="24">
        <f>0*12</f>
        <v>0</v>
      </c>
      <c r="L116" s="24">
        <v>93</v>
      </c>
      <c r="M116" s="24">
        <f t="shared" si="101"/>
        <v>2917.8727083333338</v>
      </c>
      <c r="N116" s="24">
        <f>F116/12</f>
        <v>21799.020833333336</v>
      </c>
      <c r="O116" s="24"/>
    </row>
    <row r="117" spans="1:16" x14ac:dyDescent="0.15">
      <c r="A117" s="34" t="s">
        <v>521</v>
      </c>
      <c r="B117" s="21"/>
      <c r="C117" s="16" t="s">
        <v>56</v>
      </c>
      <c r="D117" s="16">
        <v>9</v>
      </c>
      <c r="E117" s="24">
        <f t="shared" si="99"/>
        <v>362119.07050000003</v>
      </c>
      <c r="F117" s="24">
        <f>215940*(B$6+1)</f>
        <v>231055.80000000002</v>
      </c>
      <c r="G117" s="24">
        <f t="shared" si="107"/>
        <v>50832.276000000005</v>
      </c>
      <c r="H117" s="24">
        <f>3736*(B$7+1)*12</f>
        <v>47970.240000000005</v>
      </c>
      <c r="I117" s="24">
        <f t="shared" si="96"/>
        <v>8400</v>
      </c>
      <c r="J117" s="15">
        <v>1926</v>
      </c>
      <c r="K117" s="24">
        <f>0*12</f>
        <v>0</v>
      </c>
      <c r="L117" s="24">
        <v>93</v>
      </c>
      <c r="M117" s="24">
        <f t="shared" si="101"/>
        <v>2587.1045000000004</v>
      </c>
      <c r="N117" s="24">
        <f>F117/12</f>
        <v>19254.650000000001</v>
      </c>
      <c r="O117" s="24"/>
    </row>
    <row r="118" spans="1:16" x14ac:dyDescent="0.15">
      <c r="A118" s="34" t="s">
        <v>506</v>
      </c>
      <c r="B118" s="21"/>
      <c r="C118" s="16" t="s">
        <v>536</v>
      </c>
      <c r="D118" s="34">
        <v>7</v>
      </c>
      <c r="E118" s="24">
        <f t="shared" ref="E118" si="112">SUM(F118:P118)</f>
        <v>422775.47035833338</v>
      </c>
      <c r="F118" s="24">
        <f>262537*(B$6+1)</f>
        <v>280914.59000000003</v>
      </c>
      <c r="G118" s="24">
        <f t="shared" si="107"/>
        <v>61801.209800000004</v>
      </c>
      <c r="H118" s="24">
        <f t="shared" si="100"/>
        <v>43103.880000000005</v>
      </c>
      <c r="I118" s="24">
        <f t="shared" si="96"/>
        <v>8400</v>
      </c>
      <c r="J118" s="15">
        <v>1926</v>
      </c>
      <c r="K118" s="24">
        <f t="shared" ref="K118:K120" si="113">0*12</f>
        <v>0</v>
      </c>
      <c r="L118" s="24">
        <v>93</v>
      </c>
      <c r="M118" s="24">
        <f t="shared" si="101"/>
        <v>3127.2413916666674</v>
      </c>
      <c r="N118" s="24">
        <f t="shared" ref="N118" si="114">F118/12</f>
        <v>23409.549166666668</v>
      </c>
      <c r="O118" s="24"/>
    </row>
    <row r="119" spans="1:16" x14ac:dyDescent="0.15">
      <c r="A119" s="16" t="s">
        <v>44</v>
      </c>
      <c r="C119" s="34" t="s">
        <v>388</v>
      </c>
      <c r="D119" s="16">
        <v>8</v>
      </c>
      <c r="E119" s="24">
        <f t="shared" si="99"/>
        <v>398854.03854166664</v>
      </c>
      <c r="F119" s="24">
        <f>244475*(B$6+1)</f>
        <v>261588.25000000003</v>
      </c>
      <c r="G119" s="24">
        <f t="shared" si="107"/>
        <v>57549.415000000008</v>
      </c>
      <c r="H119" s="24">
        <f>3472*(B$7+1)*12</f>
        <v>44580.480000000003</v>
      </c>
      <c r="I119" s="24">
        <f t="shared" si="96"/>
        <v>8400</v>
      </c>
      <c r="J119" s="15">
        <v>1926</v>
      </c>
      <c r="K119" s="24">
        <f>0*12</f>
        <v>0</v>
      </c>
      <c r="L119" s="24">
        <v>93</v>
      </c>
      <c r="M119" s="24">
        <f t="shared" si="101"/>
        <v>2917.8727083333338</v>
      </c>
      <c r="N119" s="24">
        <f t="shared" ref="N119:N124" si="115">F119/12</f>
        <v>21799.020833333336</v>
      </c>
      <c r="O119" s="24"/>
    </row>
    <row r="120" spans="1:16" x14ac:dyDescent="0.15">
      <c r="A120" s="34" t="s">
        <v>544</v>
      </c>
      <c r="B120" s="32"/>
      <c r="C120" s="16" t="s">
        <v>399</v>
      </c>
      <c r="D120" s="34">
        <v>7</v>
      </c>
      <c r="E120" s="24">
        <f t="shared" ref="E120" si="116">SUM(F120:P120)</f>
        <v>422775.47035833338</v>
      </c>
      <c r="F120" s="24">
        <f>262537*(B$6+1)</f>
        <v>280914.59000000003</v>
      </c>
      <c r="G120" s="24">
        <f t="shared" ref="G120" si="117">F120*0.22</f>
        <v>61801.209800000004</v>
      </c>
      <c r="H120" s="24">
        <f t="shared" ref="H120" si="118">3357*(B$7+1)*12</f>
        <v>43103.880000000005</v>
      </c>
      <c r="I120" s="24">
        <f t="shared" si="96"/>
        <v>8400</v>
      </c>
      <c r="J120" s="15">
        <v>1926</v>
      </c>
      <c r="K120" s="24">
        <f t="shared" si="113"/>
        <v>0</v>
      </c>
      <c r="L120" s="24">
        <v>93</v>
      </c>
      <c r="M120" s="24">
        <f t="shared" ref="M120" si="119">(N120+I120+K120+F120)*0.01</f>
        <v>3127.2413916666674</v>
      </c>
      <c r="N120" s="24">
        <f t="shared" si="115"/>
        <v>23409.549166666668</v>
      </c>
      <c r="O120" s="24"/>
    </row>
    <row r="121" spans="1:16" x14ac:dyDescent="0.15">
      <c r="A121" s="34" t="s">
        <v>522</v>
      </c>
      <c r="C121" s="34" t="s">
        <v>99</v>
      </c>
      <c r="D121" s="16">
        <v>8</v>
      </c>
      <c r="E121" s="24">
        <f t="shared" ref="E121:E122" si="120">SUM(F121:P121)</f>
        <v>388893.43854166666</v>
      </c>
      <c r="F121" s="24">
        <f>244475*(B$6+1)</f>
        <v>261588.25000000003</v>
      </c>
      <c r="G121" s="24">
        <f t="shared" si="107"/>
        <v>57549.415000000008</v>
      </c>
      <c r="H121" s="24">
        <f t="shared" si="100"/>
        <v>43103.880000000005</v>
      </c>
      <c r="I121" s="24">
        <f>0*12</f>
        <v>0</v>
      </c>
      <c r="J121" s="15">
        <v>1926</v>
      </c>
      <c r="K121" s="24">
        <v>0</v>
      </c>
      <c r="L121" s="24">
        <v>93</v>
      </c>
      <c r="M121" s="24">
        <f t="shared" ref="M121:M131" si="121">(N121+I121+K121+F121)*0.01</f>
        <v>2833.8727083333338</v>
      </c>
      <c r="N121" s="24">
        <f t="shared" si="115"/>
        <v>21799.020833333336</v>
      </c>
      <c r="O121" s="24"/>
    </row>
    <row r="122" spans="1:16" x14ac:dyDescent="0.15">
      <c r="A122" s="34" t="s">
        <v>562</v>
      </c>
      <c r="C122" s="34" t="s">
        <v>563</v>
      </c>
      <c r="D122" s="16">
        <v>9</v>
      </c>
      <c r="E122" s="24">
        <f t="shared" si="120"/>
        <v>429375.23035833339</v>
      </c>
      <c r="F122" s="24">
        <f>262537*(B$6+1)</f>
        <v>280914.59000000003</v>
      </c>
      <c r="G122" s="24">
        <f t="shared" ref="G122" si="122">F122*0.22</f>
        <v>61801.209800000004</v>
      </c>
      <c r="H122" s="24">
        <f>3871*(B$7+1)*12</f>
        <v>49703.64</v>
      </c>
      <c r="I122" s="24">
        <f t="shared" si="96"/>
        <v>8400</v>
      </c>
      <c r="J122" s="15">
        <v>1926</v>
      </c>
      <c r="K122" s="24">
        <f t="shared" ref="K122:K296" si="123">0*12</f>
        <v>0</v>
      </c>
      <c r="L122" s="24">
        <v>93</v>
      </c>
      <c r="M122" s="24">
        <f t="shared" ref="M122" si="124">(N122+I122+K122+F122)*0.01</f>
        <v>3127.2413916666674</v>
      </c>
      <c r="N122" s="24">
        <f t="shared" ref="N122" si="125">F122/12</f>
        <v>23409.549166666668</v>
      </c>
      <c r="O122" s="24"/>
    </row>
    <row r="123" spans="1:16" x14ac:dyDescent="0.15">
      <c r="A123" s="34" t="s">
        <v>443</v>
      </c>
      <c r="B123" s="32"/>
      <c r="C123" s="16" t="s">
        <v>456</v>
      </c>
      <c r="D123" s="16">
        <v>11</v>
      </c>
      <c r="E123" s="24">
        <f t="shared" si="99"/>
        <v>267780.26190833334</v>
      </c>
      <c r="F123" s="24">
        <f>152311*(B$6+1)</f>
        <v>162972.77000000002</v>
      </c>
      <c r="G123" s="24">
        <f t="shared" si="107"/>
        <v>35854.009400000003</v>
      </c>
      <c r="H123" s="24">
        <f t="shared" ref="H123" si="126">3357*(B$7+1)*12</f>
        <v>43103.880000000005</v>
      </c>
      <c r="I123" s="24">
        <f t="shared" si="96"/>
        <v>8400</v>
      </c>
      <c r="J123" s="15">
        <v>1926</v>
      </c>
      <c r="K123" s="24">
        <f t="shared" si="123"/>
        <v>0</v>
      </c>
      <c r="L123" s="24">
        <v>93</v>
      </c>
      <c r="M123" s="24">
        <f t="shared" ref="M123" si="127">(N123+I123+K123+F123)*0.01</f>
        <v>1849.5383416666671</v>
      </c>
      <c r="N123" s="24">
        <f t="shared" si="115"/>
        <v>13581.064166666669</v>
      </c>
      <c r="O123" s="24"/>
    </row>
    <row r="124" spans="1:16" x14ac:dyDescent="0.15">
      <c r="A124" s="34" t="s">
        <v>23</v>
      </c>
      <c r="B124" s="22"/>
      <c r="C124" s="16" t="s">
        <v>400</v>
      </c>
      <c r="D124" s="16">
        <v>9</v>
      </c>
      <c r="E124" s="24">
        <f t="shared" si="99"/>
        <v>357252.71050000004</v>
      </c>
      <c r="F124" s="24">
        <f>215940*(B$6+1)</f>
        <v>231055.80000000002</v>
      </c>
      <c r="G124" s="24">
        <f t="shared" si="107"/>
        <v>50832.276000000005</v>
      </c>
      <c r="H124" s="24">
        <f t="shared" si="100"/>
        <v>43103.880000000005</v>
      </c>
      <c r="I124" s="24">
        <f t="shared" si="96"/>
        <v>8400</v>
      </c>
      <c r="J124" s="15">
        <v>1926</v>
      </c>
      <c r="K124" s="24">
        <f t="shared" si="123"/>
        <v>0</v>
      </c>
      <c r="L124" s="24">
        <v>93</v>
      </c>
      <c r="M124" s="24">
        <f t="shared" si="121"/>
        <v>2587.1045000000004</v>
      </c>
      <c r="N124" s="24">
        <f t="shared" si="115"/>
        <v>19254.650000000001</v>
      </c>
      <c r="O124" s="24"/>
    </row>
    <row r="125" spans="1:16" s="30" customFormat="1" x14ac:dyDescent="0.15">
      <c r="A125" s="34" t="s">
        <v>22</v>
      </c>
      <c r="B125" s="22"/>
      <c r="C125" s="34" t="s">
        <v>334</v>
      </c>
      <c r="D125" s="16">
        <v>10</v>
      </c>
      <c r="E125" s="24">
        <f t="shared" si="99"/>
        <v>303647.14251666667</v>
      </c>
      <c r="F125" s="24">
        <f>177818*(B$6+1)</f>
        <v>190265.26</v>
      </c>
      <c r="G125" s="24">
        <f t="shared" ref="G125:G131" si="128">F125*0.22</f>
        <v>41858.357200000006</v>
      </c>
      <c r="H125" s="24">
        <f t="shared" si="100"/>
        <v>43103.880000000005</v>
      </c>
      <c r="I125" s="24">
        <f t="shared" si="96"/>
        <v>8400</v>
      </c>
      <c r="J125" s="15">
        <v>1926</v>
      </c>
      <c r="K125" s="24">
        <f t="shared" si="123"/>
        <v>0</v>
      </c>
      <c r="L125" s="24">
        <v>93</v>
      </c>
      <c r="M125" s="24">
        <f t="shared" si="121"/>
        <v>2145.2069833333335</v>
      </c>
      <c r="N125" s="24">
        <f t="shared" ref="N125:N131" si="129">F125/12</f>
        <v>15855.438333333334</v>
      </c>
      <c r="O125" s="24"/>
      <c r="P125" s="54"/>
    </row>
    <row r="126" spans="1:16" x14ac:dyDescent="0.15">
      <c r="A126" s="34" t="s">
        <v>22</v>
      </c>
      <c r="C126" s="34" t="s">
        <v>335</v>
      </c>
      <c r="D126" s="16">
        <v>10</v>
      </c>
      <c r="E126" s="24">
        <f t="shared" si="99"/>
        <v>303647.14251666667</v>
      </c>
      <c r="F126" s="24">
        <f t="shared" ref="F126:F127" si="130">177818*(B$6+1)</f>
        <v>190265.26</v>
      </c>
      <c r="G126" s="24">
        <f t="shared" si="128"/>
        <v>41858.357200000006</v>
      </c>
      <c r="H126" s="24">
        <f t="shared" si="100"/>
        <v>43103.880000000005</v>
      </c>
      <c r="I126" s="24">
        <f t="shared" si="96"/>
        <v>8400</v>
      </c>
      <c r="J126" s="15">
        <v>1926</v>
      </c>
      <c r="K126" s="24">
        <f t="shared" si="123"/>
        <v>0</v>
      </c>
      <c r="L126" s="24">
        <v>93</v>
      </c>
      <c r="M126" s="24">
        <f t="shared" si="121"/>
        <v>2145.2069833333335</v>
      </c>
      <c r="N126" s="24">
        <f t="shared" si="129"/>
        <v>15855.438333333334</v>
      </c>
      <c r="O126" s="24"/>
    </row>
    <row r="127" spans="1:16" x14ac:dyDescent="0.15">
      <c r="A127" s="34" t="s">
        <v>477</v>
      </c>
      <c r="C127" s="34" t="s">
        <v>331</v>
      </c>
      <c r="D127" s="16">
        <v>10</v>
      </c>
      <c r="E127" s="24">
        <f t="shared" si="99"/>
        <v>303647.14251666667</v>
      </c>
      <c r="F127" s="24">
        <f t="shared" si="130"/>
        <v>190265.26</v>
      </c>
      <c r="G127" s="24">
        <f t="shared" si="128"/>
        <v>41858.357200000006</v>
      </c>
      <c r="H127" s="24">
        <f t="shared" si="100"/>
        <v>43103.880000000005</v>
      </c>
      <c r="I127" s="24">
        <f t="shared" si="96"/>
        <v>8400</v>
      </c>
      <c r="J127" s="15">
        <v>1926</v>
      </c>
      <c r="K127" s="24">
        <f t="shared" si="123"/>
        <v>0</v>
      </c>
      <c r="L127" s="24">
        <v>93</v>
      </c>
      <c r="M127" s="24">
        <f t="shared" si="121"/>
        <v>2145.2069833333335</v>
      </c>
      <c r="N127" s="24">
        <f t="shared" si="129"/>
        <v>15855.438333333334</v>
      </c>
      <c r="O127" s="24"/>
    </row>
    <row r="128" spans="1:16" x14ac:dyDescent="0.15">
      <c r="A128" s="34" t="s">
        <v>67</v>
      </c>
      <c r="C128" s="34" t="s">
        <v>575</v>
      </c>
      <c r="D128" s="16">
        <v>8</v>
      </c>
      <c r="E128" s="24">
        <f t="shared" si="99"/>
        <v>400690.15854166663</v>
      </c>
      <c r="F128" s="24">
        <f>244475*(B$6+1)</f>
        <v>261588.25000000003</v>
      </c>
      <c r="G128" s="24">
        <f t="shared" si="128"/>
        <v>57549.415000000008</v>
      </c>
      <c r="H128" s="24">
        <f>3615*(B$7+1)*12</f>
        <v>46416.600000000006</v>
      </c>
      <c r="I128" s="24">
        <f t="shared" si="96"/>
        <v>8400</v>
      </c>
      <c r="J128" s="15">
        <v>1926</v>
      </c>
      <c r="K128" s="24">
        <f t="shared" si="123"/>
        <v>0</v>
      </c>
      <c r="L128" s="24">
        <v>93</v>
      </c>
      <c r="M128" s="24">
        <f t="shared" si="121"/>
        <v>2917.8727083333338</v>
      </c>
      <c r="N128" s="24">
        <f t="shared" si="129"/>
        <v>21799.020833333336</v>
      </c>
      <c r="O128" s="24"/>
    </row>
    <row r="129" spans="1:112" x14ac:dyDescent="0.15">
      <c r="A129" s="16" t="s">
        <v>98</v>
      </c>
      <c r="C129" s="16" t="s">
        <v>478</v>
      </c>
      <c r="D129" s="16">
        <v>9</v>
      </c>
      <c r="E129" s="24">
        <f>SUM(F129:P129)</f>
        <v>357252.71050000004</v>
      </c>
      <c r="F129" s="24">
        <f>215940*(B$6+1)</f>
        <v>231055.80000000002</v>
      </c>
      <c r="G129" s="24">
        <f>F129*0.22</f>
        <v>50832.276000000005</v>
      </c>
      <c r="H129" s="24">
        <f t="shared" si="100"/>
        <v>43103.880000000005</v>
      </c>
      <c r="I129" s="24">
        <f t="shared" si="96"/>
        <v>8400</v>
      </c>
      <c r="J129" s="15">
        <v>1926</v>
      </c>
      <c r="K129" s="24">
        <f>0*12</f>
        <v>0</v>
      </c>
      <c r="L129" s="24">
        <v>93</v>
      </c>
      <c r="M129" s="24">
        <f>(N129+I129+K129+F129)*0.01</f>
        <v>2587.1045000000004</v>
      </c>
      <c r="N129" s="24">
        <f>F129/12</f>
        <v>19254.650000000001</v>
      </c>
      <c r="O129" s="24"/>
    </row>
    <row r="130" spans="1:112" x14ac:dyDescent="0.15">
      <c r="A130" s="34" t="s">
        <v>270</v>
      </c>
      <c r="B130" s="22"/>
      <c r="C130" s="34" t="s">
        <v>333</v>
      </c>
      <c r="D130" s="16">
        <v>12</v>
      </c>
      <c r="E130" s="24">
        <f t="shared" si="99"/>
        <v>244138.52185000002</v>
      </c>
      <c r="F130" s="24">
        <f>135498*(B$6+1)</f>
        <v>144982.86000000002</v>
      </c>
      <c r="G130" s="24">
        <f t="shared" si="128"/>
        <v>31896.229200000005</v>
      </c>
      <c r="H130" s="24">
        <f t="shared" si="100"/>
        <v>43103.880000000005</v>
      </c>
      <c r="I130" s="24">
        <f t="shared" si="96"/>
        <v>8400</v>
      </c>
      <c r="J130" s="15">
        <v>1926</v>
      </c>
      <c r="K130" s="24">
        <f>0*12</f>
        <v>0</v>
      </c>
      <c r="L130" s="24">
        <v>93</v>
      </c>
      <c r="M130" s="24">
        <f t="shared" si="121"/>
        <v>1654.6476500000001</v>
      </c>
      <c r="N130" s="24">
        <f t="shared" si="129"/>
        <v>12081.905000000001</v>
      </c>
      <c r="O130" s="24"/>
    </row>
    <row r="131" spans="1:112" x14ac:dyDescent="0.15">
      <c r="A131" s="34" t="s">
        <v>270</v>
      </c>
      <c r="C131" s="34" t="s">
        <v>545</v>
      </c>
      <c r="D131" s="16">
        <v>12</v>
      </c>
      <c r="E131" s="24">
        <f t="shared" si="99"/>
        <v>244138.52185000002</v>
      </c>
      <c r="F131" s="24">
        <f>135498*(B$6+1)</f>
        <v>144982.86000000002</v>
      </c>
      <c r="G131" s="24">
        <f t="shared" si="128"/>
        <v>31896.229200000005</v>
      </c>
      <c r="H131" s="24">
        <f t="shared" si="100"/>
        <v>43103.880000000005</v>
      </c>
      <c r="I131" s="24">
        <f t="shared" si="96"/>
        <v>8400</v>
      </c>
      <c r="J131" s="15">
        <v>1926</v>
      </c>
      <c r="K131" s="24">
        <v>0</v>
      </c>
      <c r="L131" s="24">
        <v>93</v>
      </c>
      <c r="M131" s="24">
        <f t="shared" si="121"/>
        <v>1654.6476500000001</v>
      </c>
      <c r="N131" s="24">
        <f t="shared" si="129"/>
        <v>12081.905000000001</v>
      </c>
      <c r="O131" s="24"/>
    </row>
    <row r="132" spans="1:112" x14ac:dyDescent="0.15">
      <c r="A132" s="51" t="s">
        <v>372</v>
      </c>
      <c r="E132" s="24">
        <f t="shared" si="99"/>
        <v>0</v>
      </c>
      <c r="F132" s="24"/>
      <c r="G132" s="24"/>
      <c r="H132" s="24"/>
      <c r="I132" s="24"/>
      <c r="J132" s="15"/>
      <c r="K132" s="24"/>
      <c r="L132" s="24"/>
      <c r="M132" s="24"/>
      <c r="N132" s="24"/>
      <c r="O132" s="24"/>
    </row>
    <row r="133" spans="1:112" x14ac:dyDescent="0.15">
      <c r="A133" s="51" t="s">
        <v>193</v>
      </c>
      <c r="E133" s="24">
        <f t="shared" si="99"/>
        <v>80000</v>
      </c>
      <c r="F133" s="24"/>
      <c r="G133" s="24"/>
      <c r="H133" s="24"/>
      <c r="I133" s="24"/>
      <c r="J133" s="15"/>
      <c r="K133" s="24"/>
      <c r="L133" s="24"/>
      <c r="M133" s="24"/>
      <c r="N133" s="24"/>
      <c r="O133" s="24">
        <v>80000</v>
      </c>
    </row>
    <row r="134" spans="1:112" x14ac:dyDescent="0.15">
      <c r="A134" s="51" t="s">
        <v>200</v>
      </c>
      <c r="C134" s="16" t="s">
        <v>200</v>
      </c>
      <c r="E134" s="24">
        <f t="shared" si="99"/>
        <v>157200</v>
      </c>
      <c r="F134" s="24"/>
      <c r="G134" s="24"/>
      <c r="H134" s="24"/>
      <c r="I134" s="24"/>
      <c r="J134" s="15"/>
      <c r="K134" s="24"/>
      <c r="L134" s="24"/>
      <c r="M134" s="24"/>
      <c r="N134" s="24"/>
      <c r="O134" s="24"/>
      <c r="P134" s="24">
        <v>157200</v>
      </c>
    </row>
    <row r="135" spans="1:112" ht="14" thickBot="1" x14ac:dyDescent="0.2">
      <c r="E135" s="39">
        <f t="shared" ref="E135:N135" si="131">SUM(E105:E134)</f>
        <v>12764599.789116668</v>
      </c>
      <c r="F135" s="39">
        <f t="shared" si="131"/>
        <v>7657973.9499999993</v>
      </c>
      <c r="G135" s="39">
        <f t="shared" si="131"/>
        <v>1602524.7172000003</v>
      </c>
      <c r="H135" s="39">
        <f t="shared" si="131"/>
        <v>1161621.96</v>
      </c>
      <c r="I135" s="39">
        <f t="shared" si="131"/>
        <v>201600</v>
      </c>
      <c r="J135" s="39">
        <f t="shared" si="131"/>
        <v>48150</v>
      </c>
      <c r="K135" s="39">
        <f t="shared" si="131"/>
        <v>1093440</v>
      </c>
      <c r="L135" s="39">
        <f t="shared" si="131"/>
        <v>2418</v>
      </c>
      <c r="M135" s="39">
        <f t="shared" si="131"/>
        <v>85856.266983333378</v>
      </c>
      <c r="N135" s="39">
        <f t="shared" si="131"/>
        <v>673814.89493333374</v>
      </c>
      <c r="O135" s="39">
        <f>SUM(O105:O134)</f>
        <v>80000</v>
      </c>
      <c r="P135" s="39">
        <f>SUM(P105:P134)</f>
        <v>157200</v>
      </c>
    </row>
    <row r="136" spans="1:112" ht="14" thickTop="1" x14ac:dyDescent="0.15">
      <c r="C136" s="16" t="s">
        <v>237</v>
      </c>
      <c r="D136" s="16">
        <f>COUNT(D105:D135)</f>
        <v>27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12" x14ac:dyDescent="0.15">
      <c r="C137" s="16" t="s">
        <v>140</v>
      </c>
      <c r="D137" s="16">
        <v>42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12" x14ac:dyDescent="0.15">
      <c r="A138" s="45" t="s">
        <v>145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12" x14ac:dyDescent="0.15">
      <c r="C139" s="16" t="s">
        <v>212</v>
      </c>
      <c r="D139" s="38" t="s">
        <v>213</v>
      </c>
      <c r="E139" s="38" t="s">
        <v>214</v>
      </c>
      <c r="F139" s="38" t="s">
        <v>215</v>
      </c>
      <c r="G139" s="38" t="s">
        <v>216</v>
      </c>
      <c r="H139" s="38" t="s">
        <v>217</v>
      </c>
      <c r="I139" s="38" t="s">
        <v>218</v>
      </c>
      <c r="J139" s="38" t="s">
        <v>219</v>
      </c>
      <c r="K139" s="38" t="s">
        <v>220</v>
      </c>
      <c r="L139" s="38" t="s">
        <v>221</v>
      </c>
      <c r="M139" s="38" t="s">
        <v>222</v>
      </c>
      <c r="N139" s="38" t="s">
        <v>223</v>
      </c>
      <c r="O139" s="38" t="s">
        <v>421</v>
      </c>
      <c r="P139" s="24" t="s">
        <v>200</v>
      </c>
    </row>
    <row r="140" spans="1:112" x14ac:dyDescent="0.15">
      <c r="D140" s="38" t="s">
        <v>224</v>
      </c>
      <c r="E140" s="38" t="s">
        <v>225</v>
      </c>
      <c r="F140" s="38"/>
      <c r="G140" s="38" t="s">
        <v>226</v>
      </c>
      <c r="H140" s="38" t="s">
        <v>226</v>
      </c>
      <c r="I140" s="38" t="s">
        <v>227</v>
      </c>
      <c r="J140" s="38"/>
      <c r="K140" s="38" t="s">
        <v>228</v>
      </c>
      <c r="L140" s="38" t="s">
        <v>229</v>
      </c>
      <c r="M140" s="38" t="s">
        <v>230</v>
      </c>
      <c r="N140" s="38" t="s">
        <v>231</v>
      </c>
      <c r="O140" s="38" t="s">
        <v>228</v>
      </c>
    </row>
    <row r="141" spans="1:112" s="29" customFormat="1" x14ac:dyDescent="0.15">
      <c r="A141" s="174" t="s">
        <v>147</v>
      </c>
      <c r="B141" s="16"/>
      <c r="C141" s="16" t="s">
        <v>537</v>
      </c>
      <c r="D141" s="16">
        <v>0</v>
      </c>
      <c r="E141" s="24">
        <f>SUM(F141:P141)</f>
        <v>989607.59160000004</v>
      </c>
      <c r="F141" s="24">
        <f>566342*(B$6+1)</f>
        <v>605985.94000000006</v>
      </c>
      <c r="G141" s="24">
        <f>41084+(41084*9.5%)</f>
        <v>44986.98</v>
      </c>
      <c r="H141" s="24">
        <f>3871*(B$7+1)*12</f>
        <v>49703.64</v>
      </c>
      <c r="I141" s="24">
        <f>0*12</f>
        <v>0</v>
      </c>
      <c r="J141" s="15">
        <v>0</v>
      </c>
      <c r="K141" s="24">
        <f>17000*12</f>
        <v>204000</v>
      </c>
      <c r="L141" s="24">
        <v>93</v>
      </c>
      <c r="M141" s="24">
        <v>0</v>
      </c>
      <c r="N141" s="24">
        <f>F141*0.14</f>
        <v>84838.031600000017</v>
      </c>
      <c r="O141" s="24"/>
      <c r="P141" s="24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</row>
    <row r="142" spans="1:112" x14ac:dyDescent="0.15">
      <c r="A142" s="34" t="s">
        <v>139</v>
      </c>
      <c r="C142" s="16" t="s">
        <v>83</v>
      </c>
      <c r="D142" s="16">
        <v>2</v>
      </c>
      <c r="E142" s="24">
        <f t="shared" ref="E142:E152" si="132">SUM(F142:P142)</f>
        <v>966800.57564166677</v>
      </c>
      <c r="F142" s="24">
        <f t="shared" ref="F142:F144" si="133">533543*(B$6+1)</f>
        <v>570891.01</v>
      </c>
      <c r="G142" s="24">
        <f t="shared" ref="G142" si="134">F142*0.22</f>
        <v>125596.02220000001</v>
      </c>
      <c r="H142" s="24">
        <f>3871*(B$7+1)*12</f>
        <v>49703.64</v>
      </c>
      <c r="I142" s="24">
        <f t="shared" ref="I142:I147" si="135">700*12</f>
        <v>8400</v>
      </c>
      <c r="J142" s="15">
        <v>1926</v>
      </c>
      <c r="K142" s="67">
        <f t="shared" ref="K142:K144" si="136">12900*12</f>
        <v>154800</v>
      </c>
      <c r="L142" s="24">
        <v>93</v>
      </c>
      <c r="M142" s="24">
        <f t="shared" ref="M142:M146" si="137">(N142+I142+K142+F142)*0.01</f>
        <v>7816.6526083333338</v>
      </c>
      <c r="N142" s="24">
        <f t="shared" ref="N142" si="138">F142/12</f>
        <v>47574.250833333332</v>
      </c>
      <c r="O142" s="24"/>
    </row>
    <row r="143" spans="1:112" x14ac:dyDescent="0.15">
      <c r="A143" s="34" t="s">
        <v>505</v>
      </c>
      <c r="C143" s="16" t="s">
        <v>143</v>
      </c>
      <c r="D143" s="16">
        <v>2</v>
      </c>
      <c r="E143" s="24">
        <f t="shared" si="132"/>
        <v>960200.81564166676</v>
      </c>
      <c r="F143" s="24">
        <f t="shared" si="133"/>
        <v>570891.01</v>
      </c>
      <c r="G143" s="24">
        <f>F143*0.22</f>
        <v>125596.02220000001</v>
      </c>
      <c r="H143" s="24">
        <f t="shared" ref="H143:H146" si="139">3357*(B$7+1)*12</f>
        <v>43103.880000000005</v>
      </c>
      <c r="I143" s="24">
        <f t="shared" si="135"/>
        <v>8400</v>
      </c>
      <c r="J143" s="15">
        <v>1926</v>
      </c>
      <c r="K143" s="67">
        <f t="shared" si="136"/>
        <v>154800</v>
      </c>
      <c r="L143" s="24">
        <v>93</v>
      </c>
      <c r="M143" s="24">
        <f t="shared" si="137"/>
        <v>7816.6526083333338</v>
      </c>
      <c r="N143" s="24">
        <f t="shared" ref="N143:N146" si="140">F143/12</f>
        <v>47574.250833333332</v>
      </c>
      <c r="O143" s="24"/>
    </row>
    <row r="144" spans="1:112" x14ac:dyDescent="0.15">
      <c r="A144" s="34" t="s">
        <v>476</v>
      </c>
      <c r="C144" s="16" t="s">
        <v>41</v>
      </c>
      <c r="D144" s="16">
        <v>2</v>
      </c>
      <c r="E144" s="24">
        <f t="shared" ref="E144" si="141">SUM(F144:P144)</f>
        <v>966800.57564166677</v>
      </c>
      <c r="F144" s="24">
        <f t="shared" si="133"/>
        <v>570891.01</v>
      </c>
      <c r="G144" s="24">
        <f t="shared" ref="G144" si="142">F144*0.22</f>
        <v>125596.02220000001</v>
      </c>
      <c r="H144" s="24">
        <f>3871*(B$7+1)*12</f>
        <v>49703.64</v>
      </c>
      <c r="I144" s="24">
        <f t="shared" si="135"/>
        <v>8400</v>
      </c>
      <c r="J144" s="15">
        <v>1926</v>
      </c>
      <c r="K144" s="67">
        <f t="shared" si="136"/>
        <v>154800</v>
      </c>
      <c r="L144" s="24">
        <v>93</v>
      </c>
      <c r="M144" s="24">
        <f t="shared" si="137"/>
        <v>7816.6526083333338</v>
      </c>
      <c r="N144" s="24">
        <f t="shared" si="140"/>
        <v>47574.250833333332</v>
      </c>
      <c r="O144" s="24"/>
    </row>
    <row r="145" spans="1:112" x14ac:dyDescent="0.15">
      <c r="A145" s="34" t="s">
        <v>510</v>
      </c>
      <c r="C145" s="16" t="s">
        <v>401</v>
      </c>
      <c r="D145" s="16" t="s">
        <v>402</v>
      </c>
      <c r="E145" s="24">
        <f t="shared" si="132"/>
        <v>762912.26745000016</v>
      </c>
      <c r="F145" s="24">
        <f>417546*(B$6+1)</f>
        <v>446774.22000000003</v>
      </c>
      <c r="G145" s="24">
        <f>F145*0.22</f>
        <v>98290.328400000013</v>
      </c>
      <c r="H145" s="24">
        <f t="shared" si="139"/>
        <v>43103.880000000005</v>
      </c>
      <c r="I145" s="24">
        <f t="shared" si="135"/>
        <v>8400</v>
      </c>
      <c r="J145" s="15">
        <v>1926</v>
      </c>
      <c r="K145" s="24">
        <f>10080*12</f>
        <v>120960</v>
      </c>
      <c r="L145" s="24">
        <v>93</v>
      </c>
      <c r="M145" s="24">
        <f t="shared" si="137"/>
        <v>6133.6540500000001</v>
      </c>
      <c r="N145" s="24">
        <f t="shared" si="140"/>
        <v>37231.185000000005</v>
      </c>
      <c r="O145" s="24"/>
    </row>
    <row r="146" spans="1:112" x14ac:dyDescent="0.15">
      <c r="A146" s="34" t="s">
        <v>511</v>
      </c>
      <c r="C146" s="16" t="s">
        <v>538</v>
      </c>
      <c r="D146" s="34">
        <v>5</v>
      </c>
      <c r="E146" s="24">
        <f t="shared" si="132"/>
        <v>657509.45110000006</v>
      </c>
      <c r="F146" s="24">
        <f>342588*(B$6+1)</f>
        <v>366569.16000000003</v>
      </c>
      <c r="G146" s="24">
        <f>F146*0.22</f>
        <v>80645.215200000006</v>
      </c>
      <c r="H146" s="24">
        <f t="shared" si="139"/>
        <v>43103.880000000005</v>
      </c>
      <c r="I146" s="24">
        <f t="shared" si="135"/>
        <v>8400</v>
      </c>
      <c r="J146" s="15">
        <v>1926</v>
      </c>
      <c r="K146" s="24">
        <f>10080*12</f>
        <v>120960</v>
      </c>
      <c r="L146" s="24">
        <v>93</v>
      </c>
      <c r="M146" s="24">
        <f t="shared" si="137"/>
        <v>5264.7659000000012</v>
      </c>
      <c r="N146" s="24">
        <f t="shared" si="140"/>
        <v>30547.430000000004</v>
      </c>
      <c r="O146" s="24"/>
    </row>
    <row r="147" spans="1:112" x14ac:dyDescent="0.15">
      <c r="A147" s="34" t="s">
        <v>512</v>
      </c>
      <c r="C147" s="34" t="s">
        <v>586</v>
      </c>
      <c r="D147" s="34">
        <v>5</v>
      </c>
      <c r="E147" s="24">
        <f t="shared" ref="E147:E149" si="143">SUM(F147:P147)</f>
        <v>640754.32734166668</v>
      </c>
      <c r="F147" s="24">
        <f>325979*(B$6+1)</f>
        <v>348797.53</v>
      </c>
      <c r="G147" s="24">
        <f>F147*0.22</f>
        <v>76735.456600000005</v>
      </c>
      <c r="H147" s="24">
        <f>3871*(B$7+1)*12</f>
        <v>49703.64</v>
      </c>
      <c r="I147" s="24">
        <f t="shared" si="135"/>
        <v>8400</v>
      </c>
      <c r="J147" s="15">
        <v>1926</v>
      </c>
      <c r="K147" s="24">
        <f>10080*12</f>
        <v>120960</v>
      </c>
      <c r="L147" s="24">
        <v>93</v>
      </c>
      <c r="M147" s="24">
        <f t="shared" ref="M147" si="144">(N147+I147+K147+F147)*0.01</f>
        <v>5072.2399083333339</v>
      </c>
      <c r="N147" s="24">
        <f t="shared" ref="N147" si="145">F147/12</f>
        <v>29066.460833333334</v>
      </c>
      <c r="O147" s="24"/>
    </row>
    <row r="148" spans="1:112" s="221" customFormat="1" x14ac:dyDescent="0.15">
      <c r="A148" s="218" t="s">
        <v>516</v>
      </c>
      <c r="B148" s="218"/>
      <c r="C148" s="218" t="s">
        <v>35</v>
      </c>
      <c r="D148" s="218">
        <v>8</v>
      </c>
      <c r="E148" s="219"/>
      <c r="F148" s="219"/>
      <c r="G148" s="219"/>
      <c r="H148" s="219"/>
      <c r="I148" s="219"/>
      <c r="J148" s="220"/>
      <c r="K148" s="219"/>
      <c r="L148" s="219"/>
      <c r="M148" s="219"/>
      <c r="N148" s="219"/>
      <c r="O148" s="219"/>
      <c r="P148" s="219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</row>
    <row r="149" spans="1:112" s="221" customFormat="1" x14ac:dyDescent="0.15">
      <c r="A149" s="34" t="s">
        <v>584</v>
      </c>
      <c r="B149" s="218"/>
      <c r="C149" s="34" t="s">
        <v>585</v>
      </c>
      <c r="D149" s="218"/>
      <c r="E149" s="24">
        <f t="shared" si="143"/>
        <v>120000</v>
      </c>
      <c r="F149" s="56">
        <v>120000</v>
      </c>
      <c r="G149" s="219"/>
      <c r="H149" s="219"/>
      <c r="I149" s="219"/>
      <c r="J149" s="220"/>
      <c r="K149" s="219"/>
      <c r="L149" s="219"/>
      <c r="M149" s="219"/>
      <c r="N149" s="219"/>
      <c r="O149" s="219"/>
      <c r="P149" s="219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</row>
    <row r="150" spans="1:112" x14ac:dyDescent="0.15">
      <c r="A150" s="34" t="s">
        <v>372</v>
      </c>
      <c r="E150" s="24">
        <f t="shared" si="132"/>
        <v>0</v>
      </c>
      <c r="F150" s="24"/>
      <c r="G150" s="24"/>
      <c r="H150" s="24"/>
      <c r="I150" s="24"/>
      <c r="J150" s="15"/>
      <c r="K150" s="24"/>
      <c r="L150" s="24"/>
      <c r="M150" s="24"/>
      <c r="N150" s="24"/>
      <c r="O150" s="24"/>
    </row>
    <row r="151" spans="1:112" x14ac:dyDescent="0.15">
      <c r="A151" s="34" t="s">
        <v>193</v>
      </c>
      <c r="E151" s="24">
        <f t="shared" si="132"/>
        <v>80000</v>
      </c>
      <c r="F151" s="24"/>
      <c r="G151" s="24"/>
      <c r="H151" s="24"/>
      <c r="I151" s="24"/>
      <c r="J151" s="15"/>
      <c r="K151" s="24"/>
      <c r="L151" s="24"/>
      <c r="M151" s="24"/>
      <c r="N151" s="24"/>
      <c r="O151" s="24">
        <v>80000</v>
      </c>
    </row>
    <row r="152" spans="1:112" x14ac:dyDescent="0.15">
      <c r="A152" s="34" t="s">
        <v>200</v>
      </c>
      <c r="C152" s="16" t="s">
        <v>200</v>
      </c>
      <c r="E152" s="24">
        <f t="shared" si="132"/>
        <v>55000</v>
      </c>
      <c r="F152" s="24"/>
      <c r="G152" s="24"/>
      <c r="H152" s="24"/>
      <c r="I152" s="24"/>
      <c r="J152" s="15"/>
      <c r="K152" s="24"/>
      <c r="L152" s="24"/>
      <c r="M152" s="24"/>
      <c r="N152" s="24"/>
      <c r="O152" s="24"/>
      <c r="P152" s="24">
        <v>55000</v>
      </c>
    </row>
    <row r="153" spans="1:112" ht="14" thickBot="1" x14ac:dyDescent="0.2">
      <c r="E153" s="39">
        <f t="shared" ref="E153:N153" si="146">SUM(E141:E152)</f>
        <v>6199585.6044166675</v>
      </c>
      <c r="F153" s="39">
        <f t="shared" si="146"/>
        <v>3600799.8800000008</v>
      </c>
      <c r="G153" s="39">
        <f t="shared" si="146"/>
        <v>677446.04680000001</v>
      </c>
      <c r="H153" s="39">
        <f t="shared" si="146"/>
        <v>328126.2</v>
      </c>
      <c r="I153" s="39">
        <f t="shared" si="146"/>
        <v>50400</v>
      </c>
      <c r="J153" s="39">
        <f t="shared" si="146"/>
        <v>11556</v>
      </c>
      <c r="K153" s="39">
        <f t="shared" si="146"/>
        <v>1031280</v>
      </c>
      <c r="L153" s="39">
        <f t="shared" si="146"/>
        <v>651</v>
      </c>
      <c r="M153" s="39">
        <f t="shared" si="146"/>
        <v>39920.617683333337</v>
      </c>
      <c r="N153" s="39">
        <f t="shared" si="146"/>
        <v>324405.8599333333</v>
      </c>
      <c r="O153" s="39">
        <f>SUM(O141:O152)</f>
        <v>80000</v>
      </c>
      <c r="P153" s="39">
        <f>SUM(P141:P152)</f>
        <v>55000</v>
      </c>
    </row>
    <row r="154" spans="1:112" ht="14" thickTop="1" x14ac:dyDescent="0.15">
      <c r="C154" s="16" t="s">
        <v>237</v>
      </c>
      <c r="D154" s="226" t="s">
        <v>527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12" x14ac:dyDescent="0.15">
      <c r="D155" s="226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112" x14ac:dyDescent="0.15">
      <c r="D156" s="226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12" x14ac:dyDescent="0.15">
      <c r="A157" s="45" t="s">
        <v>368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12" x14ac:dyDescent="0.15">
      <c r="A158" s="45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12" x14ac:dyDescent="0.15">
      <c r="C159" s="16" t="s">
        <v>212</v>
      </c>
      <c r="D159" s="38" t="s">
        <v>213</v>
      </c>
      <c r="E159" s="38" t="s">
        <v>214</v>
      </c>
      <c r="F159" s="38" t="s">
        <v>215</v>
      </c>
      <c r="G159" s="38" t="s">
        <v>216</v>
      </c>
      <c r="H159" s="38" t="s">
        <v>217</v>
      </c>
      <c r="I159" s="38" t="s">
        <v>218</v>
      </c>
      <c r="J159" s="38" t="s">
        <v>219</v>
      </c>
      <c r="K159" s="38" t="s">
        <v>220</v>
      </c>
      <c r="L159" s="38" t="s">
        <v>221</v>
      </c>
      <c r="M159" s="38" t="s">
        <v>222</v>
      </c>
      <c r="N159" s="38" t="s">
        <v>223</v>
      </c>
      <c r="O159" s="38" t="s">
        <v>421</v>
      </c>
      <c r="P159" s="24" t="s">
        <v>200</v>
      </c>
    </row>
    <row r="160" spans="1:112" x14ac:dyDescent="0.15">
      <c r="D160" s="38" t="s">
        <v>224</v>
      </c>
      <c r="E160" s="38" t="s">
        <v>225</v>
      </c>
      <c r="F160" s="38"/>
      <c r="G160" s="38" t="s">
        <v>226</v>
      </c>
      <c r="H160" s="38" t="s">
        <v>226</v>
      </c>
      <c r="I160" s="38" t="s">
        <v>227</v>
      </c>
      <c r="J160" s="38"/>
      <c r="K160" s="38" t="s">
        <v>228</v>
      </c>
      <c r="L160" s="38" t="s">
        <v>229</v>
      </c>
      <c r="M160" s="38" t="s">
        <v>230</v>
      </c>
      <c r="N160" s="38" t="s">
        <v>231</v>
      </c>
      <c r="O160" s="38" t="s">
        <v>228</v>
      </c>
    </row>
    <row r="161" spans="1:112" s="30" customFormat="1" x14ac:dyDescent="0.15">
      <c r="A161" s="174" t="s">
        <v>546</v>
      </c>
      <c r="B161" s="16"/>
      <c r="C161" s="34" t="s">
        <v>448</v>
      </c>
      <c r="D161" s="16">
        <v>0</v>
      </c>
      <c r="E161" s="24">
        <f>SUM(F161:P161)</f>
        <v>1281155.5416000001</v>
      </c>
      <c r="F161" s="24">
        <f>680692*(B$6+1)</f>
        <v>728340.44000000006</v>
      </c>
      <c r="G161" s="24">
        <f>84000+(84000*9.5%)</f>
        <v>91980</v>
      </c>
      <c r="H161" s="24">
        <f>2241*(B$7+1)*12</f>
        <v>28774.440000000002</v>
      </c>
      <c r="I161" s="24">
        <f>0*12</f>
        <v>0</v>
      </c>
      <c r="J161" s="15">
        <v>0</v>
      </c>
      <c r="K161" s="24">
        <f>27500*12</f>
        <v>330000</v>
      </c>
      <c r="L161" s="24">
        <v>93</v>
      </c>
      <c r="M161" s="24">
        <v>0</v>
      </c>
      <c r="N161" s="24">
        <f>F161*0.14</f>
        <v>101967.66160000002</v>
      </c>
      <c r="O161" s="24"/>
      <c r="P161" s="54"/>
    </row>
    <row r="162" spans="1:112" x14ac:dyDescent="0.15">
      <c r="A162" s="34" t="s">
        <v>547</v>
      </c>
      <c r="C162" s="34" t="s">
        <v>404</v>
      </c>
      <c r="D162" s="16">
        <v>2</v>
      </c>
      <c r="E162" s="24">
        <f t="shared" ref="E162:E182" si="147">SUM(F162:P162)</f>
        <v>966800.57564166677</v>
      </c>
      <c r="F162" s="24">
        <f t="shared" ref="F162" si="148">533543*(B$6+1)</f>
        <v>570891.01</v>
      </c>
      <c r="G162" s="24">
        <f t="shared" ref="G162:G179" si="149">F162*0.22</f>
        <v>125596.02220000001</v>
      </c>
      <c r="H162" s="24">
        <f>3871*(B$7+1)*12</f>
        <v>49703.64</v>
      </c>
      <c r="I162" s="24">
        <f t="shared" ref="I162:I174" si="150">700*12</f>
        <v>8400</v>
      </c>
      <c r="J162" s="15">
        <v>1926</v>
      </c>
      <c r="K162" s="67">
        <f t="shared" ref="K162" si="151">12900*12</f>
        <v>154800</v>
      </c>
      <c r="L162" s="24">
        <v>93</v>
      </c>
      <c r="M162" s="24">
        <f t="shared" ref="M162:M179" si="152">(N162+I162+K162+F162)*0.01</f>
        <v>7816.6526083333338</v>
      </c>
      <c r="N162" s="24">
        <f t="shared" ref="N162:N164" si="153">F162/12</f>
        <v>47574.250833333332</v>
      </c>
      <c r="O162" s="24"/>
    </row>
    <row r="163" spans="1:112" s="30" customFormat="1" x14ac:dyDescent="0.15">
      <c r="A163" s="34" t="s">
        <v>548</v>
      </c>
      <c r="B163" s="16"/>
      <c r="C163" s="34" t="s">
        <v>85</v>
      </c>
      <c r="D163" s="16">
        <v>5</v>
      </c>
      <c r="E163" s="24">
        <f t="shared" si="147"/>
        <v>685051.87437500001</v>
      </c>
      <c r="F163" s="24">
        <f>362175*(B$6+1)</f>
        <v>387527.25</v>
      </c>
      <c r="G163" s="24">
        <f t="shared" si="149"/>
        <v>85255.994999999995</v>
      </c>
      <c r="H163" s="24">
        <f t="shared" ref="H163:H179" si="154">3357*(B$7+1)*12</f>
        <v>43103.880000000005</v>
      </c>
      <c r="I163" s="24">
        <f t="shared" si="150"/>
        <v>8400</v>
      </c>
      <c r="J163" s="15">
        <v>1926</v>
      </c>
      <c r="K163" s="24">
        <f>10080*12</f>
        <v>120960</v>
      </c>
      <c r="L163" s="24">
        <v>93</v>
      </c>
      <c r="M163" s="24">
        <f t="shared" si="152"/>
        <v>5491.8118750000003</v>
      </c>
      <c r="N163" s="24">
        <f t="shared" si="153"/>
        <v>32293.9375</v>
      </c>
      <c r="O163" s="24"/>
      <c r="P163" s="54"/>
    </row>
    <row r="164" spans="1:112" s="29" customFormat="1" x14ac:dyDescent="0.15">
      <c r="A164" s="34" t="s">
        <v>452</v>
      </c>
      <c r="B164" s="16"/>
      <c r="C164" s="34" t="s">
        <v>327</v>
      </c>
      <c r="D164" s="16">
        <v>8</v>
      </c>
      <c r="E164" s="24">
        <f t="shared" ref="E164" si="155">SUM(F164:P164)</f>
        <v>397377.43854166666</v>
      </c>
      <c r="F164" s="24">
        <f>244475*(B$6+1)</f>
        <v>261588.25000000003</v>
      </c>
      <c r="G164" s="24">
        <f t="shared" si="149"/>
        <v>57549.415000000008</v>
      </c>
      <c r="H164" s="24">
        <f t="shared" si="154"/>
        <v>43103.880000000005</v>
      </c>
      <c r="I164" s="24">
        <f t="shared" si="150"/>
        <v>8400</v>
      </c>
      <c r="J164" s="15">
        <v>1926</v>
      </c>
      <c r="K164" s="24">
        <f>0*12</f>
        <v>0</v>
      </c>
      <c r="L164" s="24">
        <v>93</v>
      </c>
      <c r="M164" s="24">
        <f t="shared" si="152"/>
        <v>2917.8727083333338</v>
      </c>
      <c r="N164" s="24">
        <f t="shared" si="153"/>
        <v>21799.020833333336</v>
      </c>
      <c r="O164" s="24"/>
      <c r="P164" s="2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</row>
    <row r="165" spans="1:112" x14ac:dyDescent="0.15">
      <c r="A165" s="34" t="s">
        <v>548</v>
      </c>
      <c r="B165" s="32"/>
      <c r="C165" s="34" t="s">
        <v>549</v>
      </c>
      <c r="D165" s="16">
        <v>5</v>
      </c>
      <c r="E165" s="24">
        <f t="shared" si="147"/>
        <v>664109.21110000007</v>
      </c>
      <c r="F165" s="24">
        <f>342588*(B$6+1)</f>
        <v>366569.16000000003</v>
      </c>
      <c r="G165" s="24">
        <f t="shared" si="149"/>
        <v>80645.215200000006</v>
      </c>
      <c r="H165" s="24">
        <f>3871*(B$7+1)*12</f>
        <v>49703.64</v>
      </c>
      <c r="I165" s="24">
        <f t="shared" si="150"/>
        <v>8400</v>
      </c>
      <c r="J165" s="15">
        <v>1926</v>
      </c>
      <c r="K165" s="24">
        <f>10080*12</f>
        <v>120960</v>
      </c>
      <c r="L165" s="24">
        <v>93</v>
      </c>
      <c r="M165" s="24">
        <f t="shared" si="152"/>
        <v>5264.7659000000012</v>
      </c>
      <c r="N165" s="24">
        <f t="shared" ref="N165:N179" si="156">F165/12</f>
        <v>30547.430000000004</v>
      </c>
      <c r="O165" s="24"/>
    </row>
    <row r="166" spans="1:112" x14ac:dyDescent="0.15">
      <c r="A166" s="34" t="s">
        <v>548</v>
      </c>
      <c r="B166" s="32"/>
      <c r="C166" s="34" t="s">
        <v>550</v>
      </c>
      <c r="D166" s="16">
        <v>5</v>
      </c>
      <c r="E166" s="24">
        <f t="shared" si="147"/>
        <v>657509.45110000006</v>
      </c>
      <c r="F166" s="24">
        <f>342588*(B$6+1)</f>
        <v>366569.16000000003</v>
      </c>
      <c r="G166" s="24">
        <f t="shared" si="149"/>
        <v>80645.215200000006</v>
      </c>
      <c r="H166" s="24">
        <f t="shared" si="154"/>
        <v>43103.880000000005</v>
      </c>
      <c r="I166" s="24">
        <f t="shared" si="150"/>
        <v>8400</v>
      </c>
      <c r="J166" s="15">
        <v>1926</v>
      </c>
      <c r="K166" s="24">
        <f>10080*12</f>
        <v>120960</v>
      </c>
      <c r="L166" s="24">
        <v>93</v>
      </c>
      <c r="M166" s="24">
        <f t="shared" si="152"/>
        <v>5264.7659000000012</v>
      </c>
      <c r="N166" s="24">
        <f t="shared" si="156"/>
        <v>30547.430000000004</v>
      </c>
      <c r="O166" s="24"/>
    </row>
    <row r="167" spans="1:112" x14ac:dyDescent="0.15">
      <c r="A167" s="34" t="s">
        <v>548</v>
      </c>
      <c r="B167" s="32"/>
      <c r="C167" s="59" t="s">
        <v>104</v>
      </c>
      <c r="D167" s="16">
        <v>5</v>
      </c>
      <c r="E167" s="24">
        <f t="shared" si="147"/>
        <v>685051.87437500001</v>
      </c>
      <c r="F167" s="24">
        <f>362175*(B$6+1)</f>
        <v>387527.25</v>
      </c>
      <c r="G167" s="24">
        <f t="shared" si="149"/>
        <v>85255.994999999995</v>
      </c>
      <c r="H167" s="24">
        <f t="shared" si="154"/>
        <v>43103.880000000005</v>
      </c>
      <c r="I167" s="24">
        <f t="shared" si="150"/>
        <v>8400</v>
      </c>
      <c r="J167" s="15">
        <v>1926</v>
      </c>
      <c r="K167" s="24">
        <f>10080*12</f>
        <v>120960</v>
      </c>
      <c r="L167" s="24">
        <v>93</v>
      </c>
      <c r="M167" s="24">
        <f t="shared" si="152"/>
        <v>5491.8118750000003</v>
      </c>
      <c r="N167" s="24">
        <f t="shared" si="156"/>
        <v>32293.9375</v>
      </c>
      <c r="O167" s="24"/>
    </row>
    <row r="168" spans="1:112" x14ac:dyDescent="0.15">
      <c r="A168" s="34" t="s">
        <v>548</v>
      </c>
      <c r="B168" s="32"/>
      <c r="C168" s="34" t="s">
        <v>551</v>
      </c>
      <c r="D168" s="16">
        <v>5</v>
      </c>
      <c r="E168" s="24">
        <f t="shared" si="147"/>
        <v>664109.21110000007</v>
      </c>
      <c r="F168" s="24">
        <f>342588*(B$6+1)</f>
        <v>366569.16000000003</v>
      </c>
      <c r="G168" s="24">
        <f t="shared" si="149"/>
        <v>80645.215200000006</v>
      </c>
      <c r="H168" s="24">
        <f>3871*(B$7+1)*12</f>
        <v>49703.64</v>
      </c>
      <c r="I168" s="24">
        <f t="shared" si="150"/>
        <v>8400</v>
      </c>
      <c r="J168" s="15">
        <v>1926</v>
      </c>
      <c r="K168" s="24">
        <f>10080*12</f>
        <v>120960</v>
      </c>
      <c r="L168" s="24">
        <v>93</v>
      </c>
      <c r="M168" s="24">
        <f t="shared" si="152"/>
        <v>5264.7659000000012</v>
      </c>
      <c r="N168" s="24">
        <f>F168/12</f>
        <v>30547.430000000004</v>
      </c>
      <c r="O168" s="24"/>
    </row>
    <row r="169" spans="1:112" x14ac:dyDescent="0.15">
      <c r="A169" s="34" t="s">
        <v>609</v>
      </c>
      <c r="B169" s="32"/>
      <c r="C169" s="34" t="s">
        <v>105</v>
      </c>
      <c r="D169" s="16">
        <v>6</v>
      </c>
      <c r="E169" s="24">
        <f t="shared" si="147"/>
        <v>601372.79811666673</v>
      </c>
      <c r="F169" s="24">
        <f t="shared" ref="F169:F174" si="157">302666*(B$6+1)</f>
        <v>323852.62</v>
      </c>
      <c r="G169" s="24">
        <f t="shared" si="149"/>
        <v>71247.576400000005</v>
      </c>
      <c r="H169" s="24">
        <f t="shared" si="154"/>
        <v>43103.880000000005</v>
      </c>
      <c r="I169" s="24">
        <f t="shared" si="150"/>
        <v>8400</v>
      </c>
      <c r="J169" s="15">
        <v>1926</v>
      </c>
      <c r="K169" s="24">
        <f>10080*12</f>
        <v>120960</v>
      </c>
      <c r="L169" s="24">
        <v>93</v>
      </c>
      <c r="M169" s="24">
        <f t="shared" si="152"/>
        <v>4802.0033833333337</v>
      </c>
      <c r="N169" s="24">
        <f t="shared" si="156"/>
        <v>26987.718333333334</v>
      </c>
      <c r="O169" s="24"/>
    </row>
    <row r="170" spans="1:112" x14ac:dyDescent="0.15">
      <c r="A170" s="34" t="s">
        <v>610</v>
      </c>
      <c r="B170" s="32"/>
      <c r="C170" s="34" t="s">
        <v>589</v>
      </c>
      <c r="D170" s="16">
        <v>6</v>
      </c>
      <c r="E170" s="24">
        <f t="shared" si="147"/>
        <v>601372.79811666673</v>
      </c>
      <c r="F170" s="24">
        <f t="shared" si="157"/>
        <v>323852.62</v>
      </c>
      <c r="G170" s="24">
        <f t="shared" si="149"/>
        <v>71247.576400000005</v>
      </c>
      <c r="H170" s="24">
        <f t="shared" si="154"/>
        <v>43103.880000000005</v>
      </c>
      <c r="I170" s="24">
        <f t="shared" si="150"/>
        <v>8400</v>
      </c>
      <c r="J170" s="15">
        <v>1926</v>
      </c>
      <c r="K170" s="24">
        <f t="shared" ref="K170:K174" si="158">10080*12</f>
        <v>120960</v>
      </c>
      <c r="L170" s="24">
        <v>93</v>
      </c>
      <c r="M170" s="24">
        <f t="shared" si="152"/>
        <v>4802.0033833333337</v>
      </c>
      <c r="N170" s="24">
        <f t="shared" si="156"/>
        <v>26987.718333333334</v>
      </c>
      <c r="O170" s="24"/>
    </row>
    <row r="171" spans="1:112" x14ac:dyDescent="0.15">
      <c r="A171" s="34" t="s">
        <v>611</v>
      </c>
      <c r="B171" s="32"/>
      <c r="C171" s="34" t="s">
        <v>106</v>
      </c>
      <c r="D171" s="16">
        <v>6</v>
      </c>
      <c r="E171" s="24">
        <f t="shared" si="147"/>
        <v>601372.79811666673</v>
      </c>
      <c r="F171" s="24">
        <f t="shared" si="157"/>
        <v>323852.62</v>
      </c>
      <c r="G171" s="24">
        <f t="shared" si="149"/>
        <v>71247.576400000005</v>
      </c>
      <c r="H171" s="24">
        <f t="shared" si="154"/>
        <v>43103.880000000005</v>
      </c>
      <c r="I171" s="24">
        <f t="shared" si="150"/>
        <v>8400</v>
      </c>
      <c r="J171" s="15">
        <v>1926</v>
      </c>
      <c r="K171" s="24">
        <f t="shared" si="158"/>
        <v>120960</v>
      </c>
      <c r="L171" s="24">
        <v>93</v>
      </c>
      <c r="M171" s="24">
        <f t="shared" si="152"/>
        <v>4802.0033833333337</v>
      </c>
      <c r="N171" s="24">
        <f t="shared" si="156"/>
        <v>26987.718333333334</v>
      </c>
      <c r="O171" s="24"/>
    </row>
    <row r="172" spans="1:112" x14ac:dyDescent="0.15">
      <c r="A172" s="34" t="s">
        <v>612</v>
      </c>
      <c r="B172" s="32"/>
      <c r="C172" s="34" t="s">
        <v>588</v>
      </c>
      <c r="D172" s="16">
        <v>6</v>
      </c>
      <c r="E172" s="24">
        <f t="shared" si="147"/>
        <v>601372.79811666673</v>
      </c>
      <c r="F172" s="24">
        <f t="shared" si="157"/>
        <v>323852.62</v>
      </c>
      <c r="G172" s="24">
        <f t="shared" si="149"/>
        <v>71247.576400000005</v>
      </c>
      <c r="H172" s="24">
        <f t="shared" si="154"/>
        <v>43103.880000000005</v>
      </c>
      <c r="I172" s="24">
        <f t="shared" si="150"/>
        <v>8400</v>
      </c>
      <c r="J172" s="15">
        <v>1926</v>
      </c>
      <c r="K172" s="24">
        <f t="shared" si="158"/>
        <v>120960</v>
      </c>
      <c r="L172" s="24">
        <v>93</v>
      </c>
      <c r="M172" s="24">
        <f t="shared" si="152"/>
        <v>4802.0033833333337</v>
      </c>
      <c r="N172" s="24">
        <f t="shared" si="156"/>
        <v>26987.718333333334</v>
      </c>
      <c r="O172" s="24"/>
    </row>
    <row r="173" spans="1:112" x14ac:dyDescent="0.15">
      <c r="A173" s="34" t="s">
        <v>613</v>
      </c>
      <c r="B173" s="32"/>
      <c r="C173" s="34" t="s">
        <v>302</v>
      </c>
      <c r="D173" s="16">
        <v>6</v>
      </c>
      <c r="E173" s="24">
        <f t="shared" si="147"/>
        <v>601372.79811666673</v>
      </c>
      <c r="F173" s="24">
        <f t="shared" si="157"/>
        <v>323852.62</v>
      </c>
      <c r="G173" s="24">
        <f t="shared" si="149"/>
        <v>71247.576400000005</v>
      </c>
      <c r="H173" s="24">
        <f t="shared" si="154"/>
        <v>43103.880000000005</v>
      </c>
      <c r="I173" s="24">
        <f t="shared" si="150"/>
        <v>8400</v>
      </c>
      <c r="J173" s="15">
        <v>1926</v>
      </c>
      <c r="K173" s="24">
        <f t="shared" si="158"/>
        <v>120960</v>
      </c>
      <c r="L173" s="24">
        <v>93</v>
      </c>
      <c r="M173" s="24">
        <f t="shared" si="152"/>
        <v>4802.0033833333337</v>
      </c>
      <c r="N173" s="24">
        <f t="shared" si="156"/>
        <v>26987.718333333334</v>
      </c>
      <c r="O173" s="24"/>
    </row>
    <row r="174" spans="1:112" x14ac:dyDescent="0.15">
      <c r="A174" s="34" t="s">
        <v>614</v>
      </c>
      <c r="B174" s="32"/>
      <c r="C174" s="34" t="s">
        <v>587</v>
      </c>
      <c r="D174" s="16">
        <v>6</v>
      </c>
      <c r="E174" s="24">
        <f t="shared" si="147"/>
        <v>607972.55811666674</v>
      </c>
      <c r="F174" s="24">
        <f t="shared" si="157"/>
        <v>323852.62</v>
      </c>
      <c r="G174" s="24">
        <f t="shared" si="149"/>
        <v>71247.576400000005</v>
      </c>
      <c r="H174" s="24">
        <f>3871*(B$7+1)*12</f>
        <v>49703.64</v>
      </c>
      <c r="I174" s="24">
        <f t="shared" si="150"/>
        <v>8400</v>
      </c>
      <c r="J174" s="15">
        <v>1926</v>
      </c>
      <c r="K174" s="24">
        <f t="shared" si="158"/>
        <v>120960</v>
      </c>
      <c r="L174" s="24">
        <v>93</v>
      </c>
      <c r="M174" s="24">
        <f t="shared" si="152"/>
        <v>4802.0033833333337</v>
      </c>
      <c r="N174" s="24">
        <f t="shared" si="156"/>
        <v>26987.718333333334</v>
      </c>
      <c r="O174" s="24"/>
    </row>
    <row r="175" spans="1:112" x14ac:dyDescent="0.15">
      <c r="A175" s="34" t="s">
        <v>571</v>
      </c>
      <c r="B175" s="32"/>
      <c r="C175" s="34" t="s">
        <v>35</v>
      </c>
      <c r="E175" s="24">
        <f t="shared" si="147"/>
        <v>120000</v>
      </c>
      <c r="F175" s="24">
        <v>120000</v>
      </c>
      <c r="G175" s="24"/>
      <c r="H175" s="24"/>
      <c r="I175" s="24"/>
      <c r="J175" s="15"/>
      <c r="K175" s="24"/>
      <c r="L175" s="24"/>
      <c r="M175" s="24"/>
      <c r="N175" s="24"/>
      <c r="O175" s="24"/>
    </row>
    <row r="176" spans="1:112" x14ac:dyDescent="0.15">
      <c r="A176" s="34" t="s">
        <v>571</v>
      </c>
      <c r="B176" s="32"/>
      <c r="C176" s="34" t="s">
        <v>35</v>
      </c>
      <c r="E176" s="24">
        <f t="shared" si="147"/>
        <v>120000</v>
      </c>
      <c r="F176" s="24">
        <v>120000</v>
      </c>
      <c r="G176" s="24"/>
      <c r="H176" s="24"/>
      <c r="I176" s="24"/>
      <c r="J176" s="15"/>
      <c r="K176" s="24"/>
      <c r="L176" s="24"/>
      <c r="M176" s="24"/>
      <c r="N176" s="24"/>
      <c r="O176" s="24"/>
    </row>
    <row r="177" spans="1:16" x14ac:dyDescent="0.15">
      <c r="A177" s="34" t="s">
        <v>636</v>
      </c>
      <c r="B177" s="32"/>
      <c r="C177" s="34" t="s">
        <v>35</v>
      </c>
      <c r="E177" s="24">
        <f t="shared" si="147"/>
        <v>120000</v>
      </c>
      <c r="F177" s="24">
        <v>120000</v>
      </c>
      <c r="G177" s="24"/>
      <c r="H177" s="24"/>
      <c r="I177" s="24"/>
      <c r="J177" s="15"/>
      <c r="K177" s="24"/>
      <c r="L177" s="24"/>
      <c r="M177" s="24"/>
      <c r="N177" s="24"/>
      <c r="O177" s="24"/>
    </row>
    <row r="178" spans="1:16" x14ac:dyDescent="0.15">
      <c r="A178" s="34" t="s">
        <v>636</v>
      </c>
      <c r="B178" s="32"/>
      <c r="C178" s="34" t="s">
        <v>35</v>
      </c>
      <c r="E178" s="24">
        <f t="shared" si="147"/>
        <v>120000</v>
      </c>
      <c r="F178" s="24">
        <v>120000</v>
      </c>
      <c r="G178" s="24"/>
      <c r="H178" s="24"/>
      <c r="I178" s="24"/>
      <c r="J178" s="15"/>
      <c r="K178" s="24"/>
      <c r="L178" s="24"/>
      <c r="M178" s="24"/>
      <c r="N178" s="24"/>
      <c r="O178" s="24"/>
    </row>
    <row r="179" spans="1:16" x14ac:dyDescent="0.15">
      <c r="A179" s="34" t="s">
        <v>343</v>
      </c>
      <c r="B179" s="32"/>
      <c r="C179" s="34" t="s">
        <v>479</v>
      </c>
      <c r="D179" s="16">
        <v>8</v>
      </c>
      <c r="E179" s="24">
        <f t="shared" si="147"/>
        <v>397377.43854166666</v>
      </c>
      <c r="F179" s="24">
        <f>244475*(B$6+1)</f>
        <v>261588.25000000003</v>
      </c>
      <c r="G179" s="24">
        <f t="shared" si="149"/>
        <v>57549.415000000008</v>
      </c>
      <c r="H179" s="24">
        <f t="shared" si="154"/>
        <v>43103.880000000005</v>
      </c>
      <c r="I179" s="24">
        <f t="shared" ref="I179" si="159">700*12</f>
        <v>8400</v>
      </c>
      <c r="J179" s="15">
        <v>1926</v>
      </c>
      <c r="K179" s="24">
        <v>0</v>
      </c>
      <c r="L179" s="24">
        <v>93</v>
      </c>
      <c r="M179" s="24">
        <f t="shared" si="152"/>
        <v>2917.8727083333338</v>
      </c>
      <c r="N179" s="24">
        <f t="shared" si="156"/>
        <v>21799.020833333336</v>
      </c>
      <c r="O179" s="24"/>
    </row>
    <row r="180" spans="1:16" x14ac:dyDescent="0.15">
      <c r="A180" s="34" t="s">
        <v>372</v>
      </c>
      <c r="B180" s="32"/>
      <c r="C180" s="59"/>
      <c r="E180" s="24">
        <f t="shared" si="147"/>
        <v>0</v>
      </c>
      <c r="F180" s="24"/>
      <c r="G180" s="24"/>
      <c r="H180" s="24"/>
      <c r="I180" s="24"/>
      <c r="J180" s="15"/>
      <c r="K180" s="24"/>
      <c r="L180" s="24"/>
      <c r="M180" s="24"/>
      <c r="N180" s="24"/>
      <c r="O180" s="24"/>
    </row>
    <row r="181" spans="1:16" x14ac:dyDescent="0.15">
      <c r="A181" s="34" t="s">
        <v>193</v>
      </c>
      <c r="B181" s="32"/>
      <c r="C181" s="59"/>
      <c r="E181" s="24">
        <f t="shared" si="147"/>
        <v>80000</v>
      </c>
      <c r="F181" s="24"/>
      <c r="G181" s="24"/>
      <c r="H181" s="24"/>
      <c r="I181" s="24"/>
      <c r="J181" s="15"/>
      <c r="K181" s="24"/>
      <c r="L181" s="24"/>
      <c r="M181" s="24"/>
      <c r="N181" s="24"/>
      <c r="O181" s="24">
        <v>80000</v>
      </c>
    </row>
    <row r="182" spans="1:16" x14ac:dyDescent="0.15">
      <c r="A182" s="34" t="s">
        <v>200</v>
      </c>
      <c r="B182" s="32"/>
      <c r="C182" s="34" t="s">
        <v>200</v>
      </c>
      <c r="E182" s="24">
        <f t="shared" si="147"/>
        <v>154000</v>
      </c>
      <c r="F182" s="24"/>
      <c r="G182" s="24"/>
      <c r="H182" s="24"/>
      <c r="I182" s="24"/>
      <c r="J182" s="15"/>
      <c r="K182" s="24"/>
      <c r="L182" s="24"/>
      <c r="M182" s="24"/>
      <c r="N182" s="24"/>
      <c r="O182" s="24"/>
      <c r="P182" s="24">
        <v>154000</v>
      </c>
    </row>
    <row r="183" spans="1:16" x14ac:dyDescent="0.15">
      <c r="A183" s="34" t="s">
        <v>557</v>
      </c>
      <c r="B183" s="32"/>
      <c r="C183" s="34"/>
      <c r="E183" s="24">
        <v>10900</v>
      </c>
      <c r="F183" s="24"/>
      <c r="G183" s="24"/>
      <c r="H183" s="24"/>
      <c r="I183" s="24"/>
      <c r="J183" s="15"/>
      <c r="K183" s="24"/>
      <c r="L183" s="24"/>
      <c r="M183" s="24"/>
      <c r="N183" s="24"/>
      <c r="O183" s="24"/>
    </row>
    <row r="184" spans="1:16" ht="14" thickBot="1" x14ac:dyDescent="0.2">
      <c r="C184" s="59"/>
      <c r="E184" s="39">
        <f>SUM(E161:E183)</f>
        <v>10738279.165075002</v>
      </c>
      <c r="F184" s="39">
        <f t="shared" ref="F184:P184" si="160">SUM(F161:F182)</f>
        <v>6120285.6500000013</v>
      </c>
      <c r="G184" s="39">
        <f t="shared" si="160"/>
        <v>1172607.9462000001</v>
      </c>
      <c r="H184" s="39">
        <f t="shared" si="160"/>
        <v>658627.80000000005</v>
      </c>
      <c r="I184" s="39">
        <f t="shared" si="160"/>
        <v>117600</v>
      </c>
      <c r="J184" s="39">
        <f t="shared" si="160"/>
        <v>26964</v>
      </c>
      <c r="K184" s="39">
        <f t="shared" si="160"/>
        <v>1815360</v>
      </c>
      <c r="L184" s="39">
        <f t="shared" si="160"/>
        <v>1395</v>
      </c>
      <c r="M184" s="39">
        <f t="shared" si="160"/>
        <v>69242.339775000015</v>
      </c>
      <c r="N184" s="39">
        <f t="shared" si="160"/>
        <v>511296.42909999995</v>
      </c>
      <c r="O184" s="39">
        <f t="shared" si="160"/>
        <v>80000</v>
      </c>
      <c r="P184" s="39">
        <f t="shared" si="160"/>
        <v>154000</v>
      </c>
    </row>
    <row r="185" spans="1:16" ht="14" thickTop="1" x14ac:dyDescent="0.15">
      <c r="C185" s="16" t="s">
        <v>237</v>
      </c>
      <c r="D185" s="16">
        <f>COUNT(D161:D184)</f>
        <v>15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6" x14ac:dyDescent="0.15">
      <c r="A186" s="45" t="s">
        <v>19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6" x14ac:dyDescent="0.15">
      <c r="C187" s="16" t="s">
        <v>212</v>
      </c>
      <c r="D187" s="38" t="s">
        <v>213</v>
      </c>
      <c r="E187" s="38" t="s">
        <v>214</v>
      </c>
      <c r="F187" s="38" t="s">
        <v>215</v>
      </c>
      <c r="G187" s="38" t="s">
        <v>216</v>
      </c>
      <c r="H187" s="38" t="s">
        <v>217</v>
      </c>
      <c r="I187" s="38" t="s">
        <v>218</v>
      </c>
      <c r="J187" s="38" t="s">
        <v>219</v>
      </c>
      <c r="K187" s="38" t="s">
        <v>220</v>
      </c>
      <c r="L187" s="38" t="s">
        <v>221</v>
      </c>
      <c r="M187" s="38" t="s">
        <v>222</v>
      </c>
      <c r="N187" s="38" t="s">
        <v>223</v>
      </c>
      <c r="O187" s="38" t="s">
        <v>421</v>
      </c>
      <c r="P187" s="24" t="s">
        <v>200</v>
      </c>
    </row>
    <row r="188" spans="1:16" x14ac:dyDescent="0.15">
      <c r="A188" s="34"/>
      <c r="D188" s="38" t="s">
        <v>224</v>
      </c>
      <c r="E188" s="38" t="s">
        <v>225</v>
      </c>
      <c r="F188" s="38"/>
      <c r="G188" s="38" t="s">
        <v>226</v>
      </c>
      <c r="H188" s="38" t="s">
        <v>226</v>
      </c>
      <c r="I188" s="38" t="s">
        <v>227</v>
      </c>
      <c r="J188" s="38"/>
      <c r="K188" s="38" t="s">
        <v>228</v>
      </c>
      <c r="L188" s="38" t="s">
        <v>229</v>
      </c>
      <c r="M188" s="38" t="s">
        <v>230</v>
      </c>
      <c r="N188" s="38" t="s">
        <v>231</v>
      </c>
      <c r="O188" s="38" t="s">
        <v>228</v>
      </c>
    </row>
    <row r="189" spans="1:16" s="30" customFormat="1" x14ac:dyDescent="0.15">
      <c r="A189" s="174" t="s">
        <v>68</v>
      </c>
      <c r="B189" s="22"/>
      <c r="C189" s="16" t="s">
        <v>420</v>
      </c>
      <c r="D189" s="16">
        <v>0</v>
      </c>
      <c r="E189" s="24">
        <f>SUM(F189:P189)</f>
        <v>1517908.1846</v>
      </c>
      <c r="F189" s="24">
        <f>856252*(B$6+1)</f>
        <v>916189.64</v>
      </c>
      <c r="G189" s="24">
        <f>57159+(571597*9.5%)</f>
        <v>111460.715</v>
      </c>
      <c r="H189" s="24">
        <f>2017*(B$7+1)*12</f>
        <v>25898.28</v>
      </c>
      <c r="I189" s="24">
        <f>0*12</f>
        <v>0</v>
      </c>
      <c r="J189" s="15">
        <v>0</v>
      </c>
      <c r="K189" s="24">
        <f>28000*12</f>
        <v>336000</v>
      </c>
      <c r="L189" s="24">
        <v>93</v>
      </c>
      <c r="M189" s="24">
        <v>0</v>
      </c>
      <c r="N189" s="24">
        <f>F189*0.14</f>
        <v>128266.54960000001</v>
      </c>
      <c r="O189" s="24"/>
      <c r="P189" s="54"/>
    </row>
    <row r="190" spans="1:16" x14ac:dyDescent="0.15">
      <c r="A190" s="34" t="s">
        <v>347</v>
      </c>
      <c r="B190" s="22"/>
      <c r="C190" s="16" t="s">
        <v>90</v>
      </c>
      <c r="D190" s="16">
        <v>2</v>
      </c>
      <c r="E190" s="24">
        <f t="shared" ref="E190:E200" si="161">SUM(F190:P190)</f>
        <v>960200.81564166676</v>
      </c>
      <c r="F190" s="24">
        <f>533543*(B$6+1)</f>
        <v>570891.01</v>
      </c>
      <c r="G190" s="24">
        <f t="shared" ref="G190:G195" si="162">F190*0.22</f>
        <v>125596.02220000001</v>
      </c>
      <c r="H190" s="24">
        <f t="shared" ref="H190:H197" si="163">3357*(B$7+1)*12</f>
        <v>43103.880000000005</v>
      </c>
      <c r="I190" s="24">
        <f t="shared" ref="I190:I197" si="164">700*12</f>
        <v>8400</v>
      </c>
      <c r="J190" s="15">
        <v>1926</v>
      </c>
      <c r="K190" s="67">
        <f t="shared" ref="K190" si="165">12900*12</f>
        <v>154800</v>
      </c>
      <c r="L190" s="24">
        <v>93</v>
      </c>
      <c r="M190" s="24">
        <f t="shared" ref="M190:M197" si="166">(N190+I190+K190+F190)*0.01</f>
        <v>7816.6526083333338</v>
      </c>
      <c r="N190" s="24">
        <f t="shared" ref="N190:N195" si="167">F190/12</f>
        <v>47574.250833333332</v>
      </c>
      <c r="O190" s="24"/>
    </row>
    <row r="191" spans="1:16" x14ac:dyDescent="0.15">
      <c r="A191" s="34" t="s">
        <v>69</v>
      </c>
      <c r="B191" s="22"/>
      <c r="C191" s="16" t="s">
        <v>91</v>
      </c>
      <c r="D191" s="16">
        <v>3</v>
      </c>
      <c r="E191" s="24">
        <f t="shared" si="161"/>
        <v>872025.18264999997</v>
      </c>
      <c r="F191" s="24">
        <f>474762*(B$6+1)</f>
        <v>507995.34</v>
      </c>
      <c r="G191" s="24">
        <f t="shared" si="162"/>
        <v>111758.97480000001</v>
      </c>
      <c r="H191" s="24">
        <f>3871*(B$7+1)*12</f>
        <v>49703.64</v>
      </c>
      <c r="I191" s="24">
        <f t="shared" si="164"/>
        <v>8400</v>
      </c>
      <c r="J191" s="15">
        <v>1926</v>
      </c>
      <c r="K191" s="24">
        <f>11900*12</f>
        <v>142800</v>
      </c>
      <c r="L191" s="24">
        <v>93</v>
      </c>
      <c r="M191" s="24">
        <f t="shared" si="166"/>
        <v>7015.2828500000005</v>
      </c>
      <c r="N191" s="24">
        <f>F191/12</f>
        <v>42332.945</v>
      </c>
      <c r="O191" s="24"/>
    </row>
    <row r="192" spans="1:16" x14ac:dyDescent="0.15">
      <c r="A192" s="34" t="s">
        <v>524</v>
      </c>
      <c r="B192" s="22"/>
      <c r="C192" s="34" t="s">
        <v>360</v>
      </c>
      <c r="D192" s="16" t="s">
        <v>395</v>
      </c>
      <c r="E192" s="24">
        <f t="shared" si="161"/>
        <v>872025.18264999997</v>
      </c>
      <c r="F192" s="24">
        <f>474762*(B$6+1)</f>
        <v>507995.34</v>
      </c>
      <c r="G192" s="24">
        <f t="shared" ref="G192" si="168">F192*0.22</f>
        <v>111758.97480000001</v>
      </c>
      <c r="H192" s="24">
        <f>3871*(B$7+1)*12</f>
        <v>49703.64</v>
      </c>
      <c r="I192" s="24">
        <f t="shared" si="164"/>
        <v>8400</v>
      </c>
      <c r="J192" s="15">
        <v>1926</v>
      </c>
      <c r="K192" s="24">
        <f t="shared" ref="K192:K193" si="169">11900*12</f>
        <v>142800</v>
      </c>
      <c r="L192" s="24">
        <v>93</v>
      </c>
      <c r="M192" s="24">
        <f t="shared" ref="M192" si="170">(N192+I192+K192+F192)*0.01</f>
        <v>7015.2828500000005</v>
      </c>
      <c r="N192" s="24">
        <f>F192/12</f>
        <v>42332.945</v>
      </c>
      <c r="O192" s="24"/>
    </row>
    <row r="193" spans="1:16" x14ac:dyDescent="0.15">
      <c r="A193" s="34" t="s">
        <v>525</v>
      </c>
      <c r="B193" s="22"/>
      <c r="C193" s="16" t="s">
        <v>405</v>
      </c>
      <c r="D193" s="16" t="s">
        <v>395</v>
      </c>
      <c r="E193" s="24">
        <f t="shared" si="161"/>
        <v>872025.18264999997</v>
      </c>
      <c r="F193" s="24">
        <f>474762*(B$6+1)</f>
        <v>507995.34</v>
      </c>
      <c r="G193" s="24">
        <f t="shared" si="162"/>
        <v>111758.97480000001</v>
      </c>
      <c r="H193" s="24">
        <f>3871*(B$7+1)*12</f>
        <v>49703.64</v>
      </c>
      <c r="I193" s="24">
        <f t="shared" si="164"/>
        <v>8400</v>
      </c>
      <c r="J193" s="15">
        <v>1926</v>
      </c>
      <c r="K193" s="24">
        <f t="shared" si="169"/>
        <v>142800</v>
      </c>
      <c r="L193" s="24">
        <v>93</v>
      </c>
      <c r="M193" s="24">
        <f t="shared" si="166"/>
        <v>7015.2828500000005</v>
      </c>
      <c r="N193" s="24">
        <f t="shared" si="167"/>
        <v>42332.945</v>
      </c>
      <c r="O193" s="24"/>
    </row>
    <row r="194" spans="1:16" s="30" customFormat="1" x14ac:dyDescent="0.15">
      <c r="A194" s="34" t="s">
        <v>70</v>
      </c>
      <c r="B194" s="22"/>
      <c r="C194" s="16" t="s">
        <v>418</v>
      </c>
      <c r="D194" s="16">
        <v>8</v>
      </c>
      <c r="E194" s="24">
        <f t="shared" si="161"/>
        <v>503791.0385416667</v>
      </c>
      <c r="F194" s="24">
        <f>244475*(B$6+1)</f>
        <v>261588.25000000003</v>
      </c>
      <c r="G194" s="24">
        <f t="shared" si="162"/>
        <v>57549.415000000008</v>
      </c>
      <c r="H194" s="24">
        <f t="shared" si="163"/>
        <v>43103.880000000005</v>
      </c>
      <c r="I194" s="24">
        <f t="shared" si="164"/>
        <v>8400</v>
      </c>
      <c r="J194" s="15">
        <v>1926</v>
      </c>
      <c r="K194" s="24">
        <f>8780*12</f>
        <v>105360</v>
      </c>
      <c r="L194" s="24">
        <v>93</v>
      </c>
      <c r="M194" s="24">
        <f t="shared" si="166"/>
        <v>3971.4727083333337</v>
      </c>
      <c r="N194" s="24">
        <f t="shared" si="167"/>
        <v>21799.020833333336</v>
      </c>
      <c r="O194" s="24"/>
      <c r="P194" s="54"/>
    </row>
    <row r="195" spans="1:16" x14ac:dyDescent="0.15">
      <c r="A195" s="34" t="s">
        <v>523</v>
      </c>
      <c r="B195" s="22"/>
      <c r="C195" s="16" t="s">
        <v>406</v>
      </c>
      <c r="D195" s="16">
        <v>7</v>
      </c>
      <c r="E195" s="24">
        <f t="shared" si="161"/>
        <v>562468.6155083332</v>
      </c>
      <c r="F195" s="24">
        <f>274999*(B$6+1)</f>
        <v>294248.93</v>
      </c>
      <c r="G195" s="24">
        <f t="shared" si="162"/>
        <v>64734.764600000002</v>
      </c>
      <c r="H195" s="24">
        <f t="shared" si="163"/>
        <v>43103.880000000005</v>
      </c>
      <c r="I195" s="24">
        <f t="shared" si="164"/>
        <v>8400</v>
      </c>
      <c r="J195" s="15">
        <v>1926</v>
      </c>
      <c r="K195" s="24">
        <f>10080*12</f>
        <v>120960</v>
      </c>
      <c r="L195" s="24">
        <v>93</v>
      </c>
      <c r="M195" s="24">
        <f t="shared" si="166"/>
        <v>4481.296741666667</v>
      </c>
      <c r="N195" s="24">
        <f t="shared" si="167"/>
        <v>24520.744166666667</v>
      </c>
      <c r="O195" s="24"/>
    </row>
    <row r="196" spans="1:16" x14ac:dyDescent="0.15">
      <c r="A196" s="34" t="s">
        <v>77</v>
      </c>
      <c r="C196" s="16" t="s">
        <v>45</v>
      </c>
      <c r="D196" s="16">
        <v>8</v>
      </c>
      <c r="E196" s="24">
        <f>SUM(F196:N196)</f>
        <v>397377.43854166666</v>
      </c>
      <c r="F196" s="24">
        <f>244475*(B$6+1)</f>
        <v>261588.25000000003</v>
      </c>
      <c r="G196" s="24">
        <f>F196*0.22</f>
        <v>57549.415000000008</v>
      </c>
      <c r="H196" s="24">
        <f t="shared" si="163"/>
        <v>43103.880000000005</v>
      </c>
      <c r="I196" s="24">
        <f t="shared" si="164"/>
        <v>8400</v>
      </c>
      <c r="J196" s="15">
        <v>1926</v>
      </c>
      <c r="K196" s="24">
        <f>0*12</f>
        <v>0</v>
      </c>
      <c r="L196" s="24">
        <v>93</v>
      </c>
      <c r="M196" s="24">
        <f>(N196+I196+K196+F196)*0.01</f>
        <v>2917.8727083333338</v>
      </c>
      <c r="N196" s="24">
        <f>F196/12</f>
        <v>21799.020833333336</v>
      </c>
      <c r="O196" s="24"/>
    </row>
    <row r="197" spans="1:16" x14ac:dyDescent="0.15">
      <c r="A197" s="16" t="s">
        <v>71</v>
      </c>
      <c r="B197" s="22"/>
      <c r="C197" s="59" t="s">
        <v>300</v>
      </c>
      <c r="D197" s="16">
        <v>8</v>
      </c>
      <c r="E197" s="24">
        <f t="shared" si="161"/>
        <v>503791.0385416667</v>
      </c>
      <c r="F197" s="24">
        <f>244475*(B$6+1)</f>
        <v>261588.25000000003</v>
      </c>
      <c r="G197" s="24">
        <f>F197*0.22</f>
        <v>57549.415000000008</v>
      </c>
      <c r="H197" s="24">
        <f t="shared" si="163"/>
        <v>43103.880000000005</v>
      </c>
      <c r="I197" s="24">
        <f t="shared" si="164"/>
        <v>8400</v>
      </c>
      <c r="J197" s="15">
        <v>1926</v>
      </c>
      <c r="K197" s="24">
        <f>8780*12</f>
        <v>105360</v>
      </c>
      <c r="L197" s="24">
        <v>93</v>
      </c>
      <c r="M197" s="24">
        <f t="shared" si="166"/>
        <v>3971.4727083333337</v>
      </c>
      <c r="N197" s="24">
        <f>F197/12</f>
        <v>21799.020833333336</v>
      </c>
      <c r="O197" s="24"/>
    </row>
    <row r="198" spans="1:16" x14ac:dyDescent="0.15">
      <c r="A198" s="16" t="s">
        <v>372</v>
      </c>
      <c r="B198" s="22"/>
      <c r="C198" s="59"/>
      <c r="E198" s="24">
        <f t="shared" si="161"/>
        <v>0</v>
      </c>
      <c r="F198" s="24"/>
      <c r="G198" s="24"/>
      <c r="H198" s="24"/>
      <c r="I198" s="24"/>
      <c r="J198" s="15"/>
      <c r="K198" s="24"/>
      <c r="L198" s="24"/>
      <c r="M198" s="24"/>
      <c r="N198" s="24"/>
      <c r="O198" s="24"/>
    </row>
    <row r="199" spans="1:16" x14ac:dyDescent="0.15">
      <c r="A199" s="16" t="s">
        <v>193</v>
      </c>
      <c r="B199" s="22"/>
      <c r="C199" s="59"/>
      <c r="E199" s="24">
        <f t="shared" si="161"/>
        <v>30000</v>
      </c>
      <c r="F199" s="24"/>
      <c r="G199" s="24"/>
      <c r="H199" s="24"/>
      <c r="I199" s="24"/>
      <c r="J199" s="15"/>
      <c r="K199" s="24"/>
      <c r="L199" s="24"/>
      <c r="M199" s="24"/>
      <c r="N199" s="24"/>
      <c r="O199" s="24">
        <v>30000</v>
      </c>
    </row>
    <row r="200" spans="1:16" x14ac:dyDescent="0.15">
      <c r="A200" s="34" t="s">
        <v>200</v>
      </c>
      <c r="B200" s="32"/>
      <c r="C200" s="34" t="s">
        <v>200</v>
      </c>
      <c r="E200" s="24">
        <f t="shared" si="161"/>
        <v>63200</v>
      </c>
      <c r="F200" s="24"/>
      <c r="G200" s="24"/>
      <c r="H200" s="24"/>
      <c r="I200" s="24"/>
      <c r="J200" s="15"/>
      <c r="K200" s="24"/>
      <c r="L200" s="24"/>
      <c r="M200" s="24"/>
      <c r="N200" s="24"/>
      <c r="O200" s="24"/>
      <c r="P200" s="24">
        <v>63200</v>
      </c>
    </row>
    <row r="201" spans="1:16" ht="14" thickBot="1" x14ac:dyDescent="0.2">
      <c r="A201" s="34" t="s">
        <v>208</v>
      </c>
      <c r="E201" s="39">
        <f t="shared" ref="E201:N201" si="171">SUM(E189:E200)</f>
        <v>7154812.6793249995</v>
      </c>
      <c r="F201" s="39">
        <f t="shared" si="171"/>
        <v>4090080.35</v>
      </c>
      <c r="G201" s="39">
        <f t="shared" si="171"/>
        <v>809716.6712000001</v>
      </c>
      <c r="H201" s="39">
        <f t="shared" si="171"/>
        <v>390528.60000000003</v>
      </c>
      <c r="I201" s="39">
        <f t="shared" si="171"/>
        <v>67200</v>
      </c>
      <c r="J201" s="39">
        <f t="shared" si="171"/>
        <v>15408</v>
      </c>
      <c r="K201" s="39">
        <f t="shared" si="171"/>
        <v>1250880</v>
      </c>
      <c r="L201" s="39">
        <f t="shared" si="171"/>
        <v>837</v>
      </c>
      <c r="M201" s="39">
        <f t="shared" si="171"/>
        <v>44204.616025000003</v>
      </c>
      <c r="N201" s="39">
        <f t="shared" si="171"/>
        <v>392757.44209999993</v>
      </c>
      <c r="O201" s="39">
        <f>SUM(O189:O200)</f>
        <v>30000</v>
      </c>
      <c r="P201" s="39">
        <f>SUM(P189:P200)</f>
        <v>63200</v>
      </c>
    </row>
    <row r="202" spans="1:16" ht="14" thickTop="1" x14ac:dyDescent="0.15">
      <c r="A202" s="34"/>
      <c r="C202" s="16" t="s">
        <v>237</v>
      </c>
      <c r="D202" s="226" t="s">
        <v>528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1:16" x14ac:dyDescent="0.15">
      <c r="A203" s="34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1:16" x14ac:dyDescent="0.15">
      <c r="A204" s="45" t="s">
        <v>267</v>
      </c>
      <c r="C204" s="16" t="s">
        <v>212</v>
      </c>
      <c r="D204" s="38" t="s">
        <v>213</v>
      </c>
      <c r="E204" s="38" t="s">
        <v>214</v>
      </c>
      <c r="F204" s="38" t="s">
        <v>215</v>
      </c>
      <c r="G204" s="38" t="s">
        <v>216</v>
      </c>
      <c r="H204" s="38" t="s">
        <v>217</v>
      </c>
      <c r="I204" s="38" t="s">
        <v>218</v>
      </c>
      <c r="J204" s="38" t="s">
        <v>219</v>
      </c>
      <c r="K204" s="38" t="s">
        <v>220</v>
      </c>
      <c r="L204" s="38" t="s">
        <v>221</v>
      </c>
      <c r="M204" s="38" t="s">
        <v>222</v>
      </c>
      <c r="N204" s="38" t="s">
        <v>223</v>
      </c>
      <c r="O204" s="38"/>
    </row>
    <row r="205" spans="1:16" x14ac:dyDescent="0.15">
      <c r="A205" s="34"/>
      <c r="D205" s="38" t="s">
        <v>224</v>
      </c>
      <c r="E205" s="38" t="s">
        <v>225</v>
      </c>
      <c r="F205" s="38"/>
      <c r="G205" s="38" t="s">
        <v>226</v>
      </c>
      <c r="H205" s="38" t="s">
        <v>226</v>
      </c>
      <c r="I205" s="38" t="s">
        <v>227</v>
      </c>
      <c r="J205" s="38"/>
      <c r="K205" s="38" t="s">
        <v>228</v>
      </c>
      <c r="L205" s="38" t="s">
        <v>229</v>
      </c>
      <c r="M205" s="38" t="s">
        <v>230</v>
      </c>
      <c r="N205" s="38" t="s">
        <v>231</v>
      </c>
      <c r="O205" s="38"/>
    </row>
    <row r="206" spans="1:16" x14ac:dyDescent="0.15">
      <c r="A206" s="34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6" x14ac:dyDescent="0.15">
      <c r="A207" s="34" t="s">
        <v>480</v>
      </c>
      <c r="C207" s="16" t="s">
        <v>34</v>
      </c>
      <c r="D207" s="16">
        <v>2</v>
      </c>
      <c r="E207" s="24">
        <f>SUM(F207:P207)</f>
        <v>960200.81564166676</v>
      </c>
      <c r="F207" s="24">
        <f t="shared" ref="F207" si="172">533543*(B$6+1)</f>
        <v>570891.01</v>
      </c>
      <c r="G207" s="24">
        <f>F207*0.22</f>
        <v>125596.02220000001</v>
      </c>
      <c r="H207" s="24">
        <f t="shared" ref="H207:H209" si="173">3357*(B$7+1)*12</f>
        <v>43103.880000000005</v>
      </c>
      <c r="I207" s="24">
        <f t="shared" ref="I207:I209" si="174">700*12</f>
        <v>8400</v>
      </c>
      <c r="J207" s="15">
        <v>1926</v>
      </c>
      <c r="K207" s="67">
        <f t="shared" ref="K207" si="175">12900*12</f>
        <v>154800</v>
      </c>
      <c r="L207" s="24">
        <v>93</v>
      </c>
      <c r="M207" s="24">
        <f t="shared" ref="M207" si="176">(N207+I207+K207+F207)*0.01</f>
        <v>7816.6526083333338</v>
      </c>
      <c r="N207" s="24">
        <f>F207/12</f>
        <v>47574.250833333332</v>
      </c>
      <c r="O207" s="24"/>
    </row>
    <row r="208" spans="1:16" x14ac:dyDescent="0.15">
      <c r="A208" s="34" t="s">
        <v>232</v>
      </c>
      <c r="C208" s="16" t="s">
        <v>55</v>
      </c>
      <c r="D208" s="16">
        <v>5</v>
      </c>
      <c r="E208" s="24">
        <f>SUM(F208:P208)</f>
        <v>678705.70346666663</v>
      </c>
      <c r="F208" s="24">
        <f>359992*(B$6+1)</f>
        <v>385191.44</v>
      </c>
      <c r="G208" s="24">
        <f>F208*0.22</f>
        <v>84742.116800000003</v>
      </c>
      <c r="H208" s="24">
        <f t="shared" si="173"/>
        <v>43103.880000000005</v>
      </c>
      <c r="I208" s="24">
        <f t="shared" si="174"/>
        <v>8400</v>
      </c>
      <c r="J208" s="15">
        <v>1926</v>
      </c>
      <c r="K208" s="88">
        <f>10080*12</f>
        <v>120960</v>
      </c>
      <c r="L208" s="24">
        <v>93</v>
      </c>
      <c r="M208" s="24">
        <v>2189.98</v>
      </c>
      <c r="N208" s="24">
        <f>F208/12</f>
        <v>32099.286666666667</v>
      </c>
      <c r="O208" s="24"/>
    </row>
    <row r="209" spans="1:112" x14ac:dyDescent="0.15">
      <c r="A209" s="34" t="s">
        <v>499</v>
      </c>
      <c r="C209" s="16" t="s">
        <v>500</v>
      </c>
      <c r="D209" s="16">
        <v>8</v>
      </c>
      <c r="E209" s="24">
        <f t="shared" ref="E209" si="177">SUM(F209:P209)</f>
        <v>480278.23854166671</v>
      </c>
      <c r="F209" s="24">
        <f>244475*(B$6+1)</f>
        <v>261588.25000000003</v>
      </c>
      <c r="G209" s="24">
        <f>F209*0.22</f>
        <v>57549.415000000008</v>
      </c>
      <c r="H209" s="24">
        <f t="shared" si="173"/>
        <v>43103.880000000005</v>
      </c>
      <c r="I209" s="24">
        <f t="shared" si="174"/>
        <v>8400</v>
      </c>
      <c r="J209" s="15">
        <v>1926</v>
      </c>
      <c r="K209" s="24">
        <f>6840*12</f>
        <v>82080</v>
      </c>
      <c r="L209" s="24">
        <v>93</v>
      </c>
      <c r="M209" s="24">
        <f t="shared" ref="M209" si="178">(N209+I209+K209+F209)*0.01</f>
        <v>3738.672708333334</v>
      </c>
      <c r="N209" s="24">
        <f>F209/12</f>
        <v>21799.020833333336</v>
      </c>
      <c r="O209" s="24"/>
    </row>
    <row r="210" spans="1:112" x14ac:dyDescent="0.15">
      <c r="A210" s="34" t="s">
        <v>372</v>
      </c>
      <c r="E210" s="24">
        <f>SUM(F210:N210)</f>
        <v>0</v>
      </c>
      <c r="F210" s="24"/>
      <c r="G210" s="24"/>
      <c r="H210" s="24"/>
      <c r="I210" s="24"/>
      <c r="J210" s="15"/>
      <c r="K210" s="88"/>
      <c r="L210" s="24"/>
      <c r="M210" s="24"/>
      <c r="N210" s="24"/>
      <c r="O210" s="24"/>
    </row>
    <row r="211" spans="1:112" ht="14" thickBot="1" x14ac:dyDescent="0.2">
      <c r="A211" s="34"/>
      <c r="E211" s="39">
        <f t="shared" ref="E211:M211" si="179">SUM(E207:E210)</f>
        <v>2119184.75765</v>
      </c>
      <c r="F211" s="39">
        <f t="shared" si="179"/>
        <v>1217670.7</v>
      </c>
      <c r="G211" s="39">
        <f t="shared" si="179"/>
        <v>267887.554</v>
      </c>
      <c r="H211" s="39">
        <f t="shared" si="179"/>
        <v>129311.64000000001</v>
      </c>
      <c r="I211" s="39">
        <f t="shared" si="179"/>
        <v>25200</v>
      </c>
      <c r="J211" s="39">
        <f t="shared" si="179"/>
        <v>5778</v>
      </c>
      <c r="K211" s="39">
        <f t="shared" si="179"/>
        <v>357840</v>
      </c>
      <c r="L211" s="39">
        <f t="shared" si="179"/>
        <v>279</v>
      </c>
      <c r="M211" s="39">
        <f t="shared" si="179"/>
        <v>13745.305316666667</v>
      </c>
      <c r="N211" s="39">
        <f>SUM(N207:N210)</f>
        <v>101472.55833333335</v>
      </c>
      <c r="O211" s="40"/>
    </row>
    <row r="212" spans="1:112" ht="14" thickTop="1" x14ac:dyDescent="0.15">
      <c r="C212" s="16" t="s">
        <v>237</v>
      </c>
      <c r="D212" s="16">
        <f>COUNT(D207:D211)</f>
        <v>3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1:112" x14ac:dyDescent="0.1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12" x14ac:dyDescent="0.15">
      <c r="A214" s="45" t="s">
        <v>369</v>
      </c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12" x14ac:dyDescent="0.15">
      <c r="C215" s="16" t="s">
        <v>212</v>
      </c>
      <c r="D215" s="38" t="s">
        <v>213</v>
      </c>
      <c r="E215" s="38" t="s">
        <v>214</v>
      </c>
      <c r="F215" s="38" t="s">
        <v>215</v>
      </c>
      <c r="G215" s="38" t="s">
        <v>216</v>
      </c>
      <c r="H215" s="38" t="s">
        <v>217</v>
      </c>
      <c r="I215" s="38" t="s">
        <v>218</v>
      </c>
      <c r="J215" s="38" t="s">
        <v>219</v>
      </c>
      <c r="K215" s="38" t="s">
        <v>220</v>
      </c>
      <c r="L215" s="38" t="s">
        <v>221</v>
      </c>
      <c r="M215" s="38" t="s">
        <v>222</v>
      </c>
      <c r="N215" s="38" t="s">
        <v>223</v>
      </c>
      <c r="O215" s="38"/>
      <c r="P215" s="24" t="s">
        <v>200</v>
      </c>
    </row>
    <row r="216" spans="1:112" x14ac:dyDescent="0.15">
      <c r="D216" s="38" t="s">
        <v>224</v>
      </c>
      <c r="E216" s="38" t="s">
        <v>225</v>
      </c>
      <c r="F216" s="38"/>
      <c r="G216" s="38" t="s">
        <v>226</v>
      </c>
      <c r="H216" s="38" t="s">
        <v>226</v>
      </c>
      <c r="I216" s="38" t="s">
        <v>227</v>
      </c>
      <c r="J216" s="38"/>
      <c r="K216" s="38" t="s">
        <v>228</v>
      </c>
      <c r="L216" s="38" t="s">
        <v>229</v>
      </c>
      <c r="M216" s="38" t="s">
        <v>230</v>
      </c>
      <c r="N216" s="38" t="s">
        <v>231</v>
      </c>
      <c r="O216" s="38"/>
    </row>
    <row r="217" spans="1:112" x14ac:dyDescent="0.15">
      <c r="A217" s="34" t="s">
        <v>78</v>
      </c>
      <c r="B217" s="22"/>
      <c r="C217" s="16" t="s">
        <v>407</v>
      </c>
      <c r="D217" s="16">
        <v>2</v>
      </c>
      <c r="E217" s="24">
        <f>SUM(F217:P217)</f>
        <v>960200.81564166676</v>
      </c>
      <c r="F217" s="24">
        <f t="shared" ref="F217:F218" si="180">533543*(B$6+1)</f>
        <v>570891.01</v>
      </c>
      <c r="G217" s="24">
        <f>F217*0.22</f>
        <v>125596.02220000001</v>
      </c>
      <c r="H217" s="24">
        <f t="shared" ref="H217:H223" si="181">3357*(B$7+1)*12</f>
        <v>43103.880000000005</v>
      </c>
      <c r="I217" s="24">
        <f t="shared" ref="I217:I224" si="182">700*12</f>
        <v>8400</v>
      </c>
      <c r="J217" s="15">
        <v>1926</v>
      </c>
      <c r="K217" s="67">
        <f t="shared" ref="K217:K218" si="183">12900*12</f>
        <v>154800</v>
      </c>
      <c r="L217" s="24">
        <v>93</v>
      </c>
      <c r="M217" s="24">
        <f t="shared" ref="M217:M224" si="184">(N217+I217+K217+F217)*0.01</f>
        <v>7816.6526083333338</v>
      </c>
      <c r="N217" s="24">
        <f>F217/12</f>
        <v>47574.250833333332</v>
      </c>
      <c r="O217" s="24"/>
    </row>
    <row r="218" spans="1:112" x14ac:dyDescent="0.15">
      <c r="A218" s="34" t="s">
        <v>345</v>
      </c>
      <c r="C218" s="34" t="s">
        <v>390</v>
      </c>
      <c r="D218" s="16">
        <v>2</v>
      </c>
      <c r="E218" s="24">
        <f t="shared" ref="E218:E221" si="185">SUM(F218:P218)</f>
        <v>966800.57564166677</v>
      </c>
      <c r="F218" s="24">
        <f t="shared" si="180"/>
        <v>570891.01</v>
      </c>
      <c r="G218" s="24">
        <f>F218*0.22</f>
        <v>125596.02220000001</v>
      </c>
      <c r="H218" s="24">
        <f>3871*(B$7+1)*12</f>
        <v>49703.64</v>
      </c>
      <c r="I218" s="24">
        <f t="shared" si="182"/>
        <v>8400</v>
      </c>
      <c r="J218" s="15">
        <v>1926</v>
      </c>
      <c r="K218" s="67">
        <f t="shared" si="183"/>
        <v>154800</v>
      </c>
      <c r="L218" s="24">
        <v>93</v>
      </c>
      <c r="M218" s="24">
        <f>(N218+I218+K218+F218)*0.01</f>
        <v>7816.6526083333338</v>
      </c>
      <c r="N218" s="24">
        <f>F218/12</f>
        <v>47574.250833333332</v>
      </c>
      <c r="O218" s="24"/>
    </row>
    <row r="219" spans="1:112" x14ac:dyDescent="0.15">
      <c r="A219" s="34" t="s">
        <v>470</v>
      </c>
      <c r="C219" s="34" t="s">
        <v>471</v>
      </c>
      <c r="D219" s="16" t="s">
        <v>394</v>
      </c>
      <c r="E219" s="24">
        <f t="shared" ref="E219" si="186">SUM(F219:P219)</f>
        <v>872025.18264999997</v>
      </c>
      <c r="F219" s="24">
        <f>474762*(B$6+1)</f>
        <v>507995.34</v>
      </c>
      <c r="G219" s="24">
        <f>F219*0.22</f>
        <v>111758.97480000001</v>
      </c>
      <c r="H219" s="24">
        <f>3871*(B$7+1)*12</f>
        <v>49703.64</v>
      </c>
      <c r="I219" s="24">
        <f t="shared" si="182"/>
        <v>8400</v>
      </c>
      <c r="J219" s="15">
        <v>1926</v>
      </c>
      <c r="K219" s="24">
        <f>11900*12</f>
        <v>142800</v>
      </c>
      <c r="L219" s="24">
        <v>93</v>
      </c>
      <c r="M219" s="24">
        <f t="shared" ref="M219" si="187">(N219+I219+K219+F219)*0.01</f>
        <v>7015.2828500000005</v>
      </c>
      <c r="N219" s="24">
        <f>F219/12</f>
        <v>42332.945</v>
      </c>
      <c r="O219" s="24"/>
    </row>
    <row r="220" spans="1:112" s="29" customFormat="1" x14ac:dyDescent="0.15">
      <c r="A220" s="51" t="s">
        <v>100</v>
      </c>
      <c r="B220" s="16"/>
      <c r="C220" s="16" t="s">
        <v>101</v>
      </c>
      <c r="D220" s="16" t="s">
        <v>394</v>
      </c>
      <c r="E220" s="24">
        <f t="shared" si="185"/>
        <v>872025.18264999997</v>
      </c>
      <c r="F220" s="24">
        <f>474762*(B$6+1)</f>
        <v>507995.34</v>
      </c>
      <c r="G220" s="24">
        <f>F220*0.22</f>
        <v>111758.97480000001</v>
      </c>
      <c r="H220" s="24">
        <f>3871*(B$7+1)*12</f>
        <v>49703.64</v>
      </c>
      <c r="I220" s="24">
        <f t="shared" si="182"/>
        <v>8400</v>
      </c>
      <c r="J220" s="15">
        <v>1926</v>
      </c>
      <c r="K220" s="24">
        <f>11900*12</f>
        <v>142800</v>
      </c>
      <c r="L220" s="24">
        <v>93</v>
      </c>
      <c r="M220" s="24">
        <f t="shared" ref="M220:M221" si="188">(N220+I220+K220+F220)*0.01</f>
        <v>7015.2828500000005</v>
      </c>
      <c r="N220" s="24">
        <f>F220/12</f>
        <v>42332.945</v>
      </c>
      <c r="O220" s="24"/>
      <c r="P220" s="24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</row>
    <row r="221" spans="1:112" s="29" customFormat="1" x14ac:dyDescent="0.15">
      <c r="A221" s="34" t="s">
        <v>393</v>
      </c>
      <c r="B221" s="16"/>
      <c r="C221" s="34" t="s">
        <v>539</v>
      </c>
      <c r="D221" s="16">
        <v>8</v>
      </c>
      <c r="E221" s="24">
        <f t="shared" si="185"/>
        <v>397377.43854166666</v>
      </c>
      <c r="F221" s="24">
        <f>244475*(B$6+1)</f>
        <v>261588.25000000003</v>
      </c>
      <c r="G221" s="24">
        <f t="shared" ref="G221" si="189">F221*0.22</f>
        <v>57549.415000000008</v>
      </c>
      <c r="H221" s="24">
        <f t="shared" si="181"/>
        <v>43103.880000000005</v>
      </c>
      <c r="I221" s="24">
        <f t="shared" si="182"/>
        <v>8400</v>
      </c>
      <c r="J221" s="15">
        <v>1926</v>
      </c>
      <c r="K221" s="24">
        <v>0</v>
      </c>
      <c r="L221" s="24">
        <v>93</v>
      </c>
      <c r="M221" s="24">
        <f t="shared" si="188"/>
        <v>2917.8727083333338</v>
      </c>
      <c r="N221" s="24">
        <f t="shared" ref="N221" si="190">F221/12</f>
        <v>21799.020833333336</v>
      </c>
      <c r="O221" s="24"/>
      <c r="P221" s="24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</row>
    <row r="222" spans="1:112" x14ac:dyDescent="0.15">
      <c r="A222" s="34" t="s">
        <v>236</v>
      </c>
      <c r="B222" s="22"/>
      <c r="C222" s="16" t="s">
        <v>121</v>
      </c>
      <c r="D222" s="16">
        <v>8</v>
      </c>
      <c r="E222" s="24">
        <f t="shared" ref="E222:E226" si="191">SUM(F222:P222)</f>
        <v>503791.0385416667</v>
      </c>
      <c r="F222" s="24">
        <f>244475*(B$6+1)</f>
        <v>261588.25000000003</v>
      </c>
      <c r="G222" s="24">
        <f>F222*0.22</f>
        <v>57549.415000000008</v>
      </c>
      <c r="H222" s="24">
        <f t="shared" si="181"/>
        <v>43103.880000000005</v>
      </c>
      <c r="I222" s="24">
        <f t="shared" si="182"/>
        <v>8400</v>
      </c>
      <c r="J222" s="15">
        <v>1926</v>
      </c>
      <c r="K222" s="24">
        <f>8780*12</f>
        <v>105360</v>
      </c>
      <c r="L222" s="24">
        <v>93</v>
      </c>
      <c r="M222" s="24">
        <f t="shared" si="184"/>
        <v>3971.4727083333337</v>
      </c>
      <c r="N222" s="24">
        <f>F222/12</f>
        <v>21799.020833333336</v>
      </c>
      <c r="O222" s="24"/>
    </row>
    <row r="223" spans="1:112" x14ac:dyDescent="0.15">
      <c r="A223" s="34" t="s">
        <v>236</v>
      </c>
      <c r="B223" s="22"/>
      <c r="C223" s="16" t="s">
        <v>122</v>
      </c>
      <c r="D223" s="16">
        <v>8</v>
      </c>
      <c r="E223" s="24">
        <f t="shared" si="191"/>
        <v>503791.0385416667</v>
      </c>
      <c r="F223" s="24">
        <f>244475*(B$6+1)</f>
        <v>261588.25000000003</v>
      </c>
      <c r="G223" s="24">
        <f>F223*0.22</f>
        <v>57549.415000000008</v>
      </c>
      <c r="H223" s="24">
        <f t="shared" si="181"/>
        <v>43103.880000000005</v>
      </c>
      <c r="I223" s="24">
        <f t="shared" si="182"/>
        <v>8400</v>
      </c>
      <c r="J223" s="15">
        <v>1926</v>
      </c>
      <c r="K223" s="24">
        <f>8780*12</f>
        <v>105360</v>
      </c>
      <c r="L223" s="24">
        <v>93</v>
      </c>
      <c r="M223" s="24">
        <f t="shared" si="184"/>
        <v>3971.4727083333337</v>
      </c>
      <c r="N223" s="24">
        <f>F223/12</f>
        <v>21799.020833333336</v>
      </c>
      <c r="O223" s="24"/>
    </row>
    <row r="224" spans="1:112" x14ac:dyDescent="0.15">
      <c r="A224" s="34" t="s">
        <v>236</v>
      </c>
      <c r="B224" s="22"/>
      <c r="C224" s="16" t="s">
        <v>81</v>
      </c>
      <c r="D224" s="16">
        <v>9</v>
      </c>
      <c r="E224" s="24">
        <f t="shared" ref="E224" si="192">SUM(F224:P224)</f>
        <v>458509.67050000007</v>
      </c>
      <c r="F224" s="24">
        <f>215940*(B$6+1)</f>
        <v>231055.80000000002</v>
      </c>
      <c r="G224" s="24">
        <f t="shared" ref="G224" si="193">F224*0.22</f>
        <v>50832.276000000005</v>
      </c>
      <c r="H224" s="24">
        <f>3871*(B$7+1)*12</f>
        <v>49703.64</v>
      </c>
      <c r="I224" s="24">
        <f t="shared" si="182"/>
        <v>8400</v>
      </c>
      <c r="J224" s="15">
        <v>1926</v>
      </c>
      <c r="K224" s="24">
        <f>7810*12</f>
        <v>93720</v>
      </c>
      <c r="L224" s="24">
        <v>93</v>
      </c>
      <c r="M224" s="24">
        <f t="shared" si="184"/>
        <v>3524.3045000000002</v>
      </c>
      <c r="N224" s="24">
        <f t="shared" ref="N224" si="194">F224/12</f>
        <v>19254.650000000001</v>
      </c>
      <c r="O224" s="24"/>
    </row>
    <row r="225" spans="1:112" x14ac:dyDescent="0.15">
      <c r="A225" s="34" t="s">
        <v>372</v>
      </c>
      <c r="B225" s="22"/>
      <c r="E225" s="24">
        <f>SUM(F225:P225)</f>
        <v>0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1:112" x14ac:dyDescent="0.15">
      <c r="A226" s="34" t="s">
        <v>200</v>
      </c>
      <c r="B226" s="32"/>
      <c r="C226" s="34" t="s">
        <v>200</v>
      </c>
      <c r="E226" s="24">
        <f t="shared" si="191"/>
        <v>32400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>
        <v>32400</v>
      </c>
    </row>
    <row r="227" spans="1:112" ht="14" thickBot="1" x14ac:dyDescent="0.2">
      <c r="A227" s="16" t="s">
        <v>208</v>
      </c>
      <c r="E227" s="39">
        <f t="shared" ref="E227:N227" si="195">SUM(E217:E226)</f>
        <v>5566920.942708333</v>
      </c>
      <c r="F227" s="39">
        <f t="shared" si="195"/>
        <v>3173593.25</v>
      </c>
      <c r="G227" s="39">
        <f t="shared" si="195"/>
        <v>698190.51500000013</v>
      </c>
      <c r="H227" s="39">
        <f t="shared" si="195"/>
        <v>371230.08</v>
      </c>
      <c r="I227" s="39">
        <f t="shared" si="195"/>
        <v>67200</v>
      </c>
      <c r="J227" s="39">
        <f t="shared" si="195"/>
        <v>15408</v>
      </c>
      <c r="K227" s="39">
        <f t="shared" si="195"/>
        <v>899640</v>
      </c>
      <c r="L227" s="39">
        <f t="shared" si="195"/>
        <v>744</v>
      </c>
      <c r="M227" s="39">
        <f t="shared" si="195"/>
        <v>44048.993541666663</v>
      </c>
      <c r="N227" s="39">
        <f t="shared" si="195"/>
        <v>264466.10416666669</v>
      </c>
      <c r="O227" s="39"/>
      <c r="P227" s="39">
        <f>SUM(P217:P226)</f>
        <v>32400</v>
      </c>
    </row>
    <row r="228" spans="1:112" ht="14" thickTop="1" x14ac:dyDescent="0.15">
      <c r="C228" s="16" t="s">
        <v>237</v>
      </c>
      <c r="D228" s="226" t="s">
        <v>528</v>
      </c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1:112" x14ac:dyDescent="0.15">
      <c r="A229" s="45" t="s">
        <v>365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1:112" x14ac:dyDescent="0.15">
      <c r="C230" s="16" t="s">
        <v>212</v>
      </c>
      <c r="D230" s="16" t="s">
        <v>213</v>
      </c>
      <c r="E230" s="38" t="s">
        <v>214</v>
      </c>
      <c r="F230" s="38" t="s">
        <v>215</v>
      </c>
      <c r="G230" s="38" t="s">
        <v>216</v>
      </c>
      <c r="H230" s="38" t="s">
        <v>217</v>
      </c>
      <c r="I230" s="38" t="s">
        <v>218</v>
      </c>
      <c r="J230" s="38" t="s">
        <v>219</v>
      </c>
      <c r="K230" s="38" t="s">
        <v>220</v>
      </c>
      <c r="L230" s="38" t="s">
        <v>221</v>
      </c>
      <c r="M230" s="38" t="s">
        <v>222</v>
      </c>
      <c r="N230" s="38" t="s">
        <v>223</v>
      </c>
      <c r="O230" s="38"/>
      <c r="P230" s="24" t="s">
        <v>200</v>
      </c>
    </row>
    <row r="231" spans="1:112" x14ac:dyDescent="0.15">
      <c r="D231" s="16" t="s">
        <v>224</v>
      </c>
      <c r="E231" s="38" t="s">
        <v>225</v>
      </c>
      <c r="F231" s="24"/>
      <c r="G231" s="38" t="s">
        <v>226</v>
      </c>
      <c r="H231" s="38" t="s">
        <v>226</v>
      </c>
      <c r="I231" s="38" t="s">
        <v>227</v>
      </c>
      <c r="J231" s="24"/>
      <c r="K231" s="38" t="s">
        <v>228</v>
      </c>
      <c r="L231" s="38" t="s">
        <v>229</v>
      </c>
      <c r="M231" s="38" t="s">
        <v>230</v>
      </c>
      <c r="N231" s="38" t="s">
        <v>231</v>
      </c>
      <c r="O231" s="38"/>
    </row>
    <row r="232" spans="1:112" x14ac:dyDescent="0.15">
      <c r="A232" s="34" t="s">
        <v>475</v>
      </c>
      <c r="C232" s="16" t="s">
        <v>410</v>
      </c>
      <c r="D232" s="16">
        <v>2</v>
      </c>
      <c r="E232" s="24">
        <f t="shared" ref="E232" si="196">SUM(F232:P232)</f>
        <v>966800.57564166677</v>
      </c>
      <c r="F232" s="24">
        <f>533543*(B$6+1)</f>
        <v>570891.01</v>
      </c>
      <c r="G232" s="24">
        <f t="shared" ref="G232" si="197">F232*0.22</f>
        <v>125596.02220000001</v>
      </c>
      <c r="H232" s="24">
        <f>3871*(B$7+1)*12</f>
        <v>49703.64</v>
      </c>
      <c r="I232" s="24">
        <f>700*12</f>
        <v>8400</v>
      </c>
      <c r="J232" s="15">
        <v>1926</v>
      </c>
      <c r="K232" s="67">
        <f t="shared" ref="K232:K233" si="198">12900*12</f>
        <v>154800</v>
      </c>
      <c r="L232" s="24">
        <v>93</v>
      </c>
      <c r="M232" s="24">
        <f>(N232+I232+K232+F232)*0.01</f>
        <v>7816.6526083333338</v>
      </c>
      <c r="N232" s="24">
        <f t="shared" ref="N232" si="199">F232/12</f>
        <v>47574.250833333332</v>
      </c>
      <c r="O232" s="38"/>
    </row>
    <row r="233" spans="1:112" x14ac:dyDescent="0.15">
      <c r="A233" s="34" t="s">
        <v>473</v>
      </c>
      <c r="B233" s="22"/>
      <c r="C233" s="34" t="s">
        <v>391</v>
      </c>
      <c r="D233" s="16">
        <v>2</v>
      </c>
      <c r="E233" s="24">
        <f t="shared" ref="E233" si="200">SUM(F233:P233)</f>
        <v>966800.57564166677</v>
      </c>
      <c r="F233" s="24">
        <f>533543*(B$6+1)</f>
        <v>570891.01</v>
      </c>
      <c r="G233" s="24">
        <f>F233*0.22</f>
        <v>125596.02220000001</v>
      </c>
      <c r="H233" s="24">
        <f>3871*(B$7+1)*12</f>
        <v>49703.64</v>
      </c>
      <c r="I233" s="24">
        <f t="shared" ref="I233:I235" si="201">700*12</f>
        <v>8400</v>
      </c>
      <c r="J233" s="15">
        <v>1926</v>
      </c>
      <c r="K233" s="67">
        <f t="shared" si="198"/>
        <v>154800</v>
      </c>
      <c r="L233" s="24">
        <v>93</v>
      </c>
      <c r="M233" s="24">
        <f>(N233+I233+K233+F233)*0.01</f>
        <v>7816.6526083333338</v>
      </c>
      <c r="N233" s="24">
        <f>F233/12</f>
        <v>47574.250833333332</v>
      </c>
      <c r="O233" s="38"/>
    </row>
    <row r="234" spans="1:112" s="29" customFormat="1" x14ac:dyDescent="0.15">
      <c r="A234" s="16" t="s">
        <v>419</v>
      </c>
      <c r="B234" s="16"/>
      <c r="C234" s="16" t="s">
        <v>411</v>
      </c>
      <c r="D234" s="16">
        <v>6</v>
      </c>
      <c r="E234" s="24">
        <f t="shared" ref="E234:E238" si="202">SUM(F234:P234)</f>
        <v>623075.4458333333</v>
      </c>
      <c r="F234" s="24">
        <f>318100*(B$6+1)</f>
        <v>340367</v>
      </c>
      <c r="G234" s="24">
        <f>F234*0.22</f>
        <v>74880.740000000005</v>
      </c>
      <c r="H234" s="24">
        <f t="shared" ref="H234:H275" si="203">3357*(B$7+1)*12</f>
        <v>43103.880000000005</v>
      </c>
      <c r="I234" s="24">
        <f t="shared" si="201"/>
        <v>8400</v>
      </c>
      <c r="J234" s="15">
        <v>1926</v>
      </c>
      <c r="K234" s="56">
        <f>10080*12</f>
        <v>120960</v>
      </c>
      <c r="L234" s="24">
        <v>93</v>
      </c>
      <c r="M234" s="24">
        <f>(N234+I234+K234+F234)*0.01</f>
        <v>4980.9091666666673</v>
      </c>
      <c r="N234" s="24">
        <f>F234/12</f>
        <v>28363.916666666668</v>
      </c>
      <c r="O234" s="24"/>
      <c r="P234" s="24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</row>
    <row r="235" spans="1:112" x14ac:dyDescent="0.15">
      <c r="A235" s="16" t="s">
        <v>415</v>
      </c>
      <c r="B235" s="22"/>
      <c r="C235" s="16" t="s">
        <v>33</v>
      </c>
      <c r="D235" s="16">
        <v>8</v>
      </c>
      <c r="E235" s="24">
        <f t="shared" si="202"/>
        <v>480278.23854166671</v>
      </c>
      <c r="F235" s="24">
        <f>244475*(B$6+1)</f>
        <v>261588.25000000003</v>
      </c>
      <c r="G235" s="24">
        <f>F235*0.22</f>
        <v>57549.415000000008</v>
      </c>
      <c r="H235" s="24">
        <f t="shared" si="68"/>
        <v>43103.880000000005</v>
      </c>
      <c r="I235" s="24">
        <f t="shared" si="201"/>
        <v>8400</v>
      </c>
      <c r="J235" s="15">
        <v>1926</v>
      </c>
      <c r="K235" s="24">
        <f>6840*12</f>
        <v>82080</v>
      </c>
      <c r="L235" s="24">
        <v>93</v>
      </c>
      <c r="M235" s="24">
        <f>(N235+I235+K235+F235)*0.01</f>
        <v>3738.672708333334</v>
      </c>
      <c r="N235" s="24">
        <f>F235/12</f>
        <v>21799.020833333336</v>
      </c>
      <c r="O235" s="24"/>
    </row>
    <row r="236" spans="1:112" x14ac:dyDescent="0.15">
      <c r="A236" s="34"/>
      <c r="C236" s="34"/>
      <c r="E236" s="24">
        <f t="shared" si="202"/>
        <v>0</v>
      </c>
      <c r="F236" s="24"/>
      <c r="G236" s="24"/>
      <c r="H236" s="24"/>
      <c r="I236" s="24"/>
      <c r="J236" s="15"/>
      <c r="K236" s="24"/>
      <c r="L236" s="24"/>
      <c r="M236" s="24"/>
      <c r="N236" s="24"/>
      <c r="O236" s="24"/>
    </row>
    <row r="237" spans="1:112" x14ac:dyDescent="0.15">
      <c r="A237" s="34"/>
      <c r="C237" s="34"/>
      <c r="E237" s="24">
        <f t="shared" si="202"/>
        <v>0</v>
      </c>
      <c r="F237" s="24"/>
      <c r="G237" s="24"/>
      <c r="H237" s="24"/>
      <c r="I237" s="24"/>
      <c r="J237" s="15"/>
      <c r="K237" s="24"/>
      <c r="L237" s="24"/>
      <c r="M237" s="24"/>
      <c r="N237" s="24"/>
      <c r="O237" s="24"/>
    </row>
    <row r="238" spans="1:112" x14ac:dyDescent="0.15">
      <c r="A238" s="34" t="s">
        <v>372</v>
      </c>
      <c r="C238" s="34"/>
      <c r="E238" s="24">
        <f t="shared" si="202"/>
        <v>0</v>
      </c>
      <c r="F238" s="24"/>
      <c r="G238" s="24"/>
      <c r="H238" s="24"/>
      <c r="I238" s="24"/>
      <c r="J238" s="15"/>
      <c r="K238" s="24"/>
      <c r="L238" s="24"/>
      <c r="M238" s="24"/>
      <c r="N238" s="24"/>
      <c r="O238" s="24"/>
    </row>
    <row r="239" spans="1:112" x14ac:dyDescent="0.15">
      <c r="C239" s="16" t="s">
        <v>200</v>
      </c>
      <c r="E239" s="24">
        <f t="shared" ref="E239" si="204">SUM(F239:P239)</f>
        <v>8500</v>
      </c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>
        <v>8500</v>
      </c>
    </row>
    <row r="240" spans="1:112" ht="14" thickBot="1" x14ac:dyDescent="0.2">
      <c r="E240" s="39">
        <f>SUM(E232:E239)</f>
        <v>3045454.8356583337</v>
      </c>
      <c r="F240" s="39">
        <f>SUM(F232:F239)</f>
        <v>1743737.27</v>
      </c>
      <c r="G240" s="39">
        <f>SUM(G232:G239)</f>
        <v>383622.19940000004</v>
      </c>
      <c r="H240" s="39">
        <f t="shared" ref="H240:N240" si="205">SUM(H232:H239)</f>
        <v>185615.04</v>
      </c>
      <c r="I240" s="39">
        <f t="shared" si="205"/>
        <v>33600</v>
      </c>
      <c r="J240" s="39">
        <f t="shared" si="205"/>
        <v>7704</v>
      </c>
      <c r="K240" s="39">
        <f t="shared" si="205"/>
        <v>512640</v>
      </c>
      <c r="L240" s="39">
        <f t="shared" si="205"/>
        <v>372</v>
      </c>
      <c r="M240" s="39">
        <f t="shared" si="205"/>
        <v>24352.887091666671</v>
      </c>
      <c r="N240" s="39">
        <f t="shared" si="205"/>
        <v>145311.43916666668</v>
      </c>
      <c r="O240" s="40"/>
    </row>
    <row r="241" spans="1:112" ht="14" thickTop="1" x14ac:dyDescent="0.15">
      <c r="C241" s="16" t="s">
        <v>237</v>
      </c>
      <c r="D241" s="16">
        <f>COUNT(D229:D240)</f>
        <v>4</v>
      </c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1:112" x14ac:dyDescent="0.1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1:112" x14ac:dyDescent="0.15">
      <c r="A243" s="143" t="s">
        <v>259</v>
      </c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12" x14ac:dyDescent="0.15">
      <c r="C244" s="16" t="s">
        <v>212</v>
      </c>
      <c r="D244" s="16" t="s">
        <v>213</v>
      </c>
      <c r="E244" s="38" t="s">
        <v>214</v>
      </c>
      <c r="F244" s="38" t="s">
        <v>215</v>
      </c>
      <c r="G244" s="38" t="s">
        <v>216</v>
      </c>
      <c r="H244" s="38" t="s">
        <v>217</v>
      </c>
      <c r="I244" s="38" t="s">
        <v>218</v>
      </c>
      <c r="J244" s="38" t="s">
        <v>219</v>
      </c>
      <c r="K244" s="38" t="s">
        <v>220</v>
      </c>
      <c r="L244" s="38" t="s">
        <v>221</v>
      </c>
      <c r="M244" s="38" t="s">
        <v>222</v>
      </c>
      <c r="N244" s="38" t="s">
        <v>223</v>
      </c>
      <c r="O244" s="38" t="s">
        <v>421</v>
      </c>
      <c r="P244" s="24" t="s">
        <v>200</v>
      </c>
    </row>
    <row r="245" spans="1:112" x14ac:dyDescent="0.15">
      <c r="D245" s="16" t="s">
        <v>224</v>
      </c>
      <c r="E245" s="38" t="s">
        <v>225</v>
      </c>
      <c r="F245" s="24"/>
      <c r="G245" s="38" t="s">
        <v>226</v>
      </c>
      <c r="H245" s="38" t="s">
        <v>226</v>
      </c>
      <c r="I245" s="38" t="s">
        <v>227</v>
      </c>
      <c r="J245" s="24"/>
      <c r="K245" s="38" t="s">
        <v>228</v>
      </c>
      <c r="L245" s="38" t="s">
        <v>229</v>
      </c>
      <c r="M245" s="38" t="s">
        <v>230</v>
      </c>
      <c r="N245" s="38" t="s">
        <v>231</v>
      </c>
      <c r="O245" s="38" t="s">
        <v>228</v>
      </c>
    </row>
    <row r="246" spans="1:112" x14ac:dyDescent="0.1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12" x14ac:dyDescent="0.15">
      <c r="A247" s="174" t="s">
        <v>172</v>
      </c>
      <c r="C247" s="34" t="s">
        <v>35</v>
      </c>
      <c r="D247" s="16">
        <v>0</v>
      </c>
      <c r="E247" s="24">
        <f>SUM(F247:P247)</f>
        <v>1867773.3347999998</v>
      </c>
      <c r="F247" s="24">
        <f>1082901*(B$6+1)</f>
        <v>1158704.07</v>
      </c>
      <c r="G247" s="24">
        <f>79569+(79569*9.5%)</f>
        <v>87128.054999999993</v>
      </c>
      <c r="H247" s="24">
        <f>3871*(B$7+1)*12</f>
        <v>49703.64</v>
      </c>
      <c r="I247" s="24">
        <f>0*12</f>
        <v>0</v>
      </c>
      <c r="J247" s="15">
        <v>1926</v>
      </c>
      <c r="K247" s="67">
        <f>34000*12</f>
        <v>408000</v>
      </c>
      <c r="L247" s="24">
        <v>93</v>
      </c>
      <c r="M247" s="24">
        <v>0</v>
      </c>
      <c r="N247" s="24">
        <f>F247*0.14</f>
        <v>162218.56980000003</v>
      </c>
      <c r="O247" s="24"/>
    </row>
    <row r="248" spans="1:112" x14ac:dyDescent="0.15">
      <c r="A248" s="34" t="s">
        <v>450</v>
      </c>
      <c r="C248" s="34" t="s">
        <v>451</v>
      </c>
      <c r="D248" s="16">
        <v>5</v>
      </c>
      <c r="E248" s="24">
        <f t="shared" ref="E248" si="206">SUM(F248:P248)</f>
        <v>566412.3907333333</v>
      </c>
      <c r="F248" s="24">
        <f>359992*(B$6+1)</f>
        <v>385191.44</v>
      </c>
      <c r="G248" s="24">
        <f t="shared" ref="G248" si="207">F248*0.22</f>
        <v>84742.116800000003</v>
      </c>
      <c r="H248" s="24">
        <f>3871*(B$7+1)*12</f>
        <v>49703.64</v>
      </c>
      <c r="I248" s="24">
        <f t="shared" ref="I248:I250" si="208">700*12</f>
        <v>8400</v>
      </c>
      <c r="J248" s="15">
        <v>1926</v>
      </c>
      <c r="K248" s="24"/>
      <c r="L248" s="24">
        <v>93</v>
      </c>
      <c r="M248" s="24">
        <f t="shared" ref="M248:M249" si="209">(N248+I248+K248+F248)*0.01</f>
        <v>4256.9072666666671</v>
      </c>
      <c r="N248" s="24">
        <f>F248/12</f>
        <v>32099.286666666667</v>
      </c>
      <c r="O248" s="24"/>
    </row>
    <row r="249" spans="1:112" x14ac:dyDescent="0.15">
      <c r="A249" s="34" t="s">
        <v>392</v>
      </c>
      <c r="C249" s="34" t="s">
        <v>332</v>
      </c>
      <c r="D249" s="16">
        <v>2</v>
      </c>
      <c r="E249" s="24">
        <f t="shared" ref="E249:E250" si="210">SUM(F249:P249)</f>
        <v>960200.81564166676</v>
      </c>
      <c r="F249" s="24">
        <f>533543*(B$6+1)</f>
        <v>570891.01</v>
      </c>
      <c r="G249" s="24">
        <f>F249*0.22</f>
        <v>125596.02220000001</v>
      </c>
      <c r="H249" s="24">
        <f t="shared" ref="H249:H256" si="211">3357*(B$7+1)*12</f>
        <v>43103.880000000005</v>
      </c>
      <c r="I249" s="24">
        <f t="shared" si="208"/>
        <v>8400</v>
      </c>
      <c r="J249" s="15">
        <v>1926</v>
      </c>
      <c r="K249" s="67">
        <f t="shared" ref="K249:K252" si="212">12900*12</f>
        <v>154800</v>
      </c>
      <c r="L249" s="24">
        <v>93</v>
      </c>
      <c r="M249" s="24">
        <f t="shared" si="209"/>
        <v>7816.6526083333338</v>
      </c>
      <c r="N249" s="24">
        <f>F249/12</f>
        <v>47574.250833333332</v>
      </c>
      <c r="O249" s="24"/>
    </row>
    <row r="250" spans="1:112" s="150" customFormat="1" x14ac:dyDescent="0.15">
      <c r="A250" s="34" t="s">
        <v>474</v>
      </c>
      <c r="B250" s="34"/>
      <c r="C250" s="34" t="s">
        <v>35</v>
      </c>
      <c r="D250" s="34">
        <v>2</v>
      </c>
      <c r="E250" s="56">
        <f t="shared" si="210"/>
        <v>960200.81564166676</v>
      </c>
      <c r="F250" s="24">
        <f>533543*(B$6+1)</f>
        <v>570891.01</v>
      </c>
      <c r="G250" s="56">
        <f>F250*0.22</f>
        <v>125596.02220000001</v>
      </c>
      <c r="H250" s="56">
        <f t="shared" si="211"/>
        <v>43103.880000000005</v>
      </c>
      <c r="I250" s="24">
        <f t="shared" si="208"/>
        <v>8400</v>
      </c>
      <c r="J250" s="15">
        <v>1926</v>
      </c>
      <c r="K250" s="67">
        <f t="shared" si="212"/>
        <v>154800</v>
      </c>
      <c r="L250" s="24">
        <v>93</v>
      </c>
      <c r="M250" s="56">
        <f>(N250+I250+K250+F250)*0.01</f>
        <v>7816.6526083333338</v>
      </c>
      <c r="N250" s="56">
        <f t="shared" ref="N250:N252" si="213">F250/12</f>
        <v>47574.250833333332</v>
      </c>
      <c r="O250" s="56"/>
      <c r="P250" s="56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</row>
    <row r="251" spans="1:112" x14ac:dyDescent="0.15">
      <c r="A251" s="34" t="s">
        <v>483</v>
      </c>
      <c r="C251" s="34" t="s">
        <v>531</v>
      </c>
      <c r="D251" s="16">
        <v>2</v>
      </c>
      <c r="E251" s="24">
        <f t="shared" ref="E251" si="214">SUM(F251:P251)</f>
        <v>960200.81564166676</v>
      </c>
      <c r="F251" s="24">
        <f>533543*(B$6+1)</f>
        <v>570891.01</v>
      </c>
      <c r="G251" s="24">
        <f>F251*0.22</f>
        <v>125596.02220000001</v>
      </c>
      <c r="H251" s="24">
        <f t="shared" si="211"/>
        <v>43103.880000000005</v>
      </c>
      <c r="I251" s="24">
        <f>700*12</f>
        <v>8400</v>
      </c>
      <c r="J251" s="15">
        <v>1926</v>
      </c>
      <c r="K251" s="67">
        <f t="shared" si="212"/>
        <v>154800</v>
      </c>
      <c r="L251" s="24">
        <v>93</v>
      </c>
      <c r="M251" s="24">
        <f>(N251+I251+K251+F251)*0.01</f>
        <v>7816.6526083333338</v>
      </c>
      <c r="N251" s="24">
        <f t="shared" si="213"/>
        <v>47574.250833333332</v>
      </c>
      <c r="O251" s="24"/>
    </row>
    <row r="252" spans="1:112" x14ac:dyDescent="0.15">
      <c r="A252" s="34" t="s">
        <v>492</v>
      </c>
      <c r="C252" s="16" t="s">
        <v>92</v>
      </c>
      <c r="D252" s="16">
        <v>2</v>
      </c>
      <c r="E252" s="24">
        <f t="shared" ref="E252" si="215">SUM(F252:P252)</f>
        <v>960200.81564166676</v>
      </c>
      <c r="F252" s="24">
        <f>533543*(B$6+1)</f>
        <v>570891.01</v>
      </c>
      <c r="G252" s="24">
        <f>F252*0.22</f>
        <v>125596.02220000001</v>
      </c>
      <c r="H252" s="24">
        <f t="shared" si="211"/>
        <v>43103.880000000005</v>
      </c>
      <c r="I252" s="24">
        <f t="shared" ref="I252:I268" si="216">700*12</f>
        <v>8400</v>
      </c>
      <c r="J252" s="15">
        <v>1926</v>
      </c>
      <c r="K252" s="67">
        <f t="shared" si="212"/>
        <v>154800</v>
      </c>
      <c r="L252" s="24">
        <v>93</v>
      </c>
      <c r="M252" s="24">
        <f>(N252+I252+K252+F252)*0.01</f>
        <v>7816.6526083333338</v>
      </c>
      <c r="N252" s="24">
        <f t="shared" si="213"/>
        <v>47574.250833333332</v>
      </c>
      <c r="O252" s="24"/>
    </row>
    <row r="253" spans="1:112" x14ac:dyDescent="0.15">
      <c r="A253" s="34" t="s">
        <v>498</v>
      </c>
      <c r="C253" s="51" t="s">
        <v>42</v>
      </c>
      <c r="D253" s="16">
        <v>5</v>
      </c>
      <c r="E253" s="24">
        <f t="shared" ref="E253" si="217">SUM(F253:P253)</f>
        <v>681982.23073333327</v>
      </c>
      <c r="F253" s="24">
        <f>359992*(B$6+1)</f>
        <v>385191.44</v>
      </c>
      <c r="G253" s="24">
        <f t="shared" ref="G253:G256" si="218">F253*0.22</f>
        <v>84742.116800000003</v>
      </c>
      <c r="H253" s="24">
        <f t="shared" si="211"/>
        <v>43103.880000000005</v>
      </c>
      <c r="I253" s="24">
        <f t="shared" si="216"/>
        <v>8400</v>
      </c>
      <c r="J253" s="15">
        <v>1926</v>
      </c>
      <c r="K253" s="24">
        <f>10080*12</f>
        <v>120960</v>
      </c>
      <c r="L253" s="24">
        <v>93</v>
      </c>
      <c r="M253" s="24">
        <f t="shared" ref="M253:M255" si="219">(N253+I253+K253+F253)*0.01</f>
        <v>5466.5072666666665</v>
      </c>
      <c r="N253" s="24">
        <f>F253/12</f>
        <v>32099.286666666667</v>
      </c>
      <c r="O253" s="24"/>
    </row>
    <row r="254" spans="1:112" x14ac:dyDescent="0.15">
      <c r="A254" s="34" t="s">
        <v>447</v>
      </c>
      <c r="C254" s="34" t="s">
        <v>449</v>
      </c>
      <c r="D254" s="16">
        <v>5</v>
      </c>
      <c r="E254" s="24">
        <f t="shared" ref="E254" si="220">SUM(F254:P254)</f>
        <v>681982.23073333327</v>
      </c>
      <c r="F254" s="24">
        <f>359992*(B$6+1)</f>
        <v>385191.44</v>
      </c>
      <c r="G254" s="24">
        <f t="shared" si="218"/>
        <v>84742.116800000003</v>
      </c>
      <c r="H254" s="24">
        <f t="shared" si="211"/>
        <v>43103.880000000005</v>
      </c>
      <c r="I254" s="24">
        <f t="shared" si="216"/>
        <v>8400</v>
      </c>
      <c r="J254" s="15">
        <v>1926</v>
      </c>
      <c r="K254" s="24">
        <f>10080*12</f>
        <v>120960</v>
      </c>
      <c r="L254" s="24">
        <v>93</v>
      </c>
      <c r="M254" s="24">
        <f t="shared" si="219"/>
        <v>5466.5072666666665</v>
      </c>
      <c r="N254" s="24">
        <f>F254/12</f>
        <v>32099.286666666667</v>
      </c>
      <c r="O254" s="24"/>
    </row>
    <row r="255" spans="1:112" x14ac:dyDescent="0.15">
      <c r="A255" s="34" t="s">
        <v>518</v>
      </c>
      <c r="C255" s="16" t="s">
        <v>383</v>
      </c>
      <c r="D255" s="16">
        <v>8</v>
      </c>
      <c r="E255" s="24">
        <f t="shared" ref="E255" si="221">SUM(F255:P255)</f>
        <v>503791.0385416667</v>
      </c>
      <c r="F255" s="24">
        <f>244475*(B$6+1)</f>
        <v>261588.25000000003</v>
      </c>
      <c r="G255" s="24">
        <f t="shared" si="218"/>
        <v>57549.415000000008</v>
      </c>
      <c r="H255" s="24">
        <f t="shared" si="211"/>
        <v>43103.880000000005</v>
      </c>
      <c r="I255" s="24">
        <f t="shared" si="216"/>
        <v>8400</v>
      </c>
      <c r="J255" s="15">
        <v>1926</v>
      </c>
      <c r="K255" s="24">
        <f>8780*12</f>
        <v>105360</v>
      </c>
      <c r="L255" s="24">
        <v>93</v>
      </c>
      <c r="M255" s="24">
        <f t="shared" si="219"/>
        <v>3971.4727083333337</v>
      </c>
      <c r="N255" s="24">
        <f t="shared" ref="N255:N256" si="222">F255/12</f>
        <v>21799.020833333336</v>
      </c>
      <c r="O255" s="24"/>
    </row>
    <row r="256" spans="1:112" x14ac:dyDescent="0.15">
      <c r="A256" s="16" t="s">
        <v>97</v>
      </c>
      <c r="C256" s="16" t="s">
        <v>102</v>
      </c>
      <c r="D256" s="16">
        <v>8</v>
      </c>
      <c r="E256" s="24">
        <f t="shared" ref="E256" si="223">SUM(F256:P256)</f>
        <v>503791.0385416667</v>
      </c>
      <c r="F256" s="24">
        <f>244475*(B$6+1)</f>
        <v>261588.25000000003</v>
      </c>
      <c r="G256" s="24">
        <f t="shared" si="218"/>
        <v>57549.415000000008</v>
      </c>
      <c r="H256" s="24">
        <f t="shared" si="211"/>
        <v>43103.880000000005</v>
      </c>
      <c r="I256" s="24">
        <f t="shared" si="216"/>
        <v>8400</v>
      </c>
      <c r="J256" s="15">
        <v>1926</v>
      </c>
      <c r="K256" s="24">
        <f>8780*12</f>
        <v>105360</v>
      </c>
      <c r="L256" s="24">
        <v>93</v>
      </c>
      <c r="M256" s="24">
        <f>(N256+I256+K256+F256)*0.01</f>
        <v>3971.4727083333337</v>
      </c>
      <c r="N256" s="24">
        <f t="shared" si="222"/>
        <v>21799.020833333336</v>
      </c>
      <c r="O256" s="24"/>
    </row>
    <row r="257" spans="1:112" s="221" customFormat="1" x14ac:dyDescent="0.15">
      <c r="A257" s="218" t="s">
        <v>577</v>
      </c>
      <c r="B257" s="218"/>
      <c r="C257" s="218" t="s">
        <v>35</v>
      </c>
      <c r="D257" s="218">
        <v>8</v>
      </c>
      <c r="E257" s="219">
        <f t="shared" ref="E257" si="224">SUM(F257:P257)</f>
        <v>381956.10010000004</v>
      </c>
      <c r="F257" s="219">
        <f>233508*(B$6+1)</f>
        <v>249853.56000000003</v>
      </c>
      <c r="G257" s="219">
        <f t="shared" ref="G257" si="225">F257*0.22</f>
        <v>54967.783200000005</v>
      </c>
      <c r="H257" s="219">
        <f t="shared" ref="H257" si="226">3357*(B$7+1)*12</f>
        <v>43103.880000000005</v>
      </c>
      <c r="I257" s="24">
        <f t="shared" si="216"/>
        <v>8400</v>
      </c>
      <c r="J257" s="15">
        <v>1926</v>
      </c>
      <c r="K257" s="219"/>
      <c r="L257" s="24">
        <v>93</v>
      </c>
      <c r="M257" s="219">
        <f>(N257+I257+K257+F257)*0.01</f>
        <v>2790.7469000000001</v>
      </c>
      <c r="N257" s="219">
        <f t="shared" ref="N257" si="227">F257/12</f>
        <v>20821.13</v>
      </c>
      <c r="O257" s="219"/>
      <c r="P257" s="219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18"/>
      <c r="AX257" s="218"/>
      <c r="AY257" s="218"/>
      <c r="AZ257" s="218"/>
      <c r="BA257" s="218"/>
      <c r="BB257" s="218"/>
      <c r="BC257" s="218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  <c r="BZ257" s="218"/>
      <c r="CA257" s="218"/>
      <c r="CB257" s="218"/>
      <c r="CC257" s="218"/>
      <c r="CD257" s="218"/>
      <c r="CE257" s="218"/>
      <c r="CF257" s="218"/>
      <c r="CG257" s="218"/>
      <c r="CH257" s="218"/>
      <c r="CI257" s="218"/>
      <c r="CJ257" s="218"/>
      <c r="CK257" s="218"/>
      <c r="CL257" s="218"/>
      <c r="CM257" s="218"/>
      <c r="CN257" s="218"/>
      <c r="CO257" s="218"/>
      <c r="CP257" s="218"/>
      <c r="CQ257" s="218"/>
      <c r="CR257" s="218"/>
      <c r="CS257" s="218"/>
      <c r="CT257" s="218"/>
      <c r="CU257" s="218"/>
      <c r="CV257" s="218"/>
      <c r="CW257" s="218"/>
      <c r="CX257" s="218"/>
      <c r="CY257" s="218"/>
      <c r="CZ257" s="218"/>
      <c r="DA257" s="218"/>
      <c r="DB257" s="218"/>
      <c r="DC257" s="218"/>
      <c r="DD257" s="218"/>
      <c r="DE257" s="218"/>
      <c r="DF257" s="218"/>
      <c r="DG257" s="218"/>
      <c r="DH257" s="218"/>
    </row>
    <row r="258" spans="1:112" x14ac:dyDescent="0.15">
      <c r="A258" s="34" t="s">
        <v>47</v>
      </c>
      <c r="C258" s="34" t="s">
        <v>408</v>
      </c>
      <c r="D258" s="16">
        <v>2</v>
      </c>
      <c r="E258" s="24">
        <f>SUM(F258:P258)</f>
        <v>955190.16303333337</v>
      </c>
      <c r="F258" s="24">
        <f>533543*(B$6+1)</f>
        <v>570891.01</v>
      </c>
      <c r="G258" s="24">
        <f t="shared" ref="G258:G273" si="228">F258*0.22</f>
        <v>125596.02220000001</v>
      </c>
      <c r="H258" s="24">
        <f t="shared" si="203"/>
        <v>43103.880000000005</v>
      </c>
      <c r="I258" s="24">
        <f t="shared" si="216"/>
        <v>8400</v>
      </c>
      <c r="J258" s="15">
        <v>1926</v>
      </c>
      <c r="K258" s="67">
        <f t="shared" ref="K258:K259" si="229">12900*12</f>
        <v>154800</v>
      </c>
      <c r="L258" s="24">
        <v>93</v>
      </c>
      <c r="M258" s="24">
        <v>2806</v>
      </c>
      <c r="N258" s="24">
        <f t="shared" ref="N258:N274" si="230">F258/12</f>
        <v>47574.250833333332</v>
      </c>
      <c r="O258" s="24"/>
    </row>
    <row r="259" spans="1:112" s="29" customFormat="1" x14ac:dyDescent="0.15">
      <c r="A259" s="34" t="s">
        <v>46</v>
      </c>
      <c r="B259" s="16"/>
      <c r="C259" s="16" t="s">
        <v>409</v>
      </c>
      <c r="D259" s="16">
        <v>2</v>
      </c>
      <c r="E259" s="24">
        <f t="shared" ref="E259:E277" si="231">SUM(F259:P259)</f>
        <v>960200.81564166676</v>
      </c>
      <c r="F259" s="24">
        <f>533543*(B$6+1)</f>
        <v>570891.01</v>
      </c>
      <c r="G259" s="24">
        <f t="shared" si="228"/>
        <v>125596.02220000001</v>
      </c>
      <c r="H259" s="24">
        <f t="shared" si="203"/>
        <v>43103.880000000005</v>
      </c>
      <c r="I259" s="24">
        <f t="shared" si="216"/>
        <v>8400</v>
      </c>
      <c r="J259" s="15">
        <v>1926</v>
      </c>
      <c r="K259" s="67">
        <f t="shared" si="229"/>
        <v>154800</v>
      </c>
      <c r="L259" s="24">
        <v>93</v>
      </c>
      <c r="M259" s="24">
        <f>(N259+I259+K259+F259)*0.01</f>
        <v>7816.6526083333338</v>
      </c>
      <c r="N259" s="24">
        <f t="shared" si="230"/>
        <v>47574.250833333332</v>
      </c>
      <c r="O259" s="24"/>
      <c r="P259" s="24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</row>
    <row r="260" spans="1:112" s="29" customFormat="1" x14ac:dyDescent="0.15">
      <c r="A260" s="34" t="s">
        <v>482</v>
      </c>
      <c r="B260" s="16"/>
      <c r="C260" s="16" t="s">
        <v>485</v>
      </c>
      <c r="D260" s="144">
        <v>3</v>
      </c>
      <c r="E260" s="24">
        <f t="shared" ref="E260" si="232">SUM(F260:P260)</f>
        <v>865425.42264999996</v>
      </c>
      <c r="F260" s="24">
        <f>474762*(B$6+1)</f>
        <v>507995.34</v>
      </c>
      <c r="G260" s="24">
        <f>F260*0.22</f>
        <v>111758.97480000001</v>
      </c>
      <c r="H260" s="24">
        <f t="shared" ref="H260" si="233">3357*(B$7+1)*12</f>
        <v>43103.880000000005</v>
      </c>
      <c r="I260" s="24">
        <f t="shared" si="216"/>
        <v>8400</v>
      </c>
      <c r="J260" s="15">
        <v>1926</v>
      </c>
      <c r="K260" s="24">
        <f>11900*12</f>
        <v>142800</v>
      </c>
      <c r="L260" s="24">
        <v>93</v>
      </c>
      <c r="M260" s="24">
        <f t="shared" ref="M260" si="234">(N260+I260+K260+F260)*0.01</f>
        <v>7015.2828500000005</v>
      </c>
      <c r="N260" s="24">
        <f>F260/12</f>
        <v>42332.945</v>
      </c>
      <c r="O260" s="24"/>
      <c r="P260" s="24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</row>
    <row r="261" spans="1:112" s="29" customFormat="1" x14ac:dyDescent="0.15">
      <c r="A261" s="34" t="s">
        <v>481</v>
      </c>
      <c r="B261" s="16"/>
      <c r="C261" s="16" t="s">
        <v>484</v>
      </c>
      <c r="D261" s="144">
        <v>3</v>
      </c>
      <c r="E261" s="24">
        <f t="shared" ref="E261" si="235">SUM(F261:P261)</f>
        <v>865425.42264999996</v>
      </c>
      <c r="F261" s="24">
        <f>474762*(B$6+1)</f>
        <v>507995.34</v>
      </c>
      <c r="G261" s="24">
        <f>F261*0.22</f>
        <v>111758.97480000001</v>
      </c>
      <c r="H261" s="24">
        <f t="shared" ref="H261" si="236">3357*(B$7+1)*12</f>
        <v>43103.880000000005</v>
      </c>
      <c r="I261" s="24">
        <f t="shared" si="216"/>
        <v>8400</v>
      </c>
      <c r="J261" s="15">
        <v>1926</v>
      </c>
      <c r="K261" s="24">
        <f t="shared" ref="K261:K263" si="237">11900*12</f>
        <v>142800</v>
      </c>
      <c r="L261" s="24">
        <v>93</v>
      </c>
      <c r="M261" s="24">
        <f t="shared" ref="M261" si="238">(N261+I261+K261+F261)*0.01</f>
        <v>7015.2828500000005</v>
      </c>
      <c r="N261" s="24">
        <f>F261/12</f>
        <v>42332.945</v>
      </c>
      <c r="O261" s="24"/>
      <c r="P261" s="24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</row>
    <row r="262" spans="1:112" s="224" customFormat="1" x14ac:dyDescent="0.15">
      <c r="A262" s="34" t="s">
        <v>501</v>
      </c>
      <c r="B262" s="34"/>
      <c r="C262" s="34" t="s">
        <v>540</v>
      </c>
      <c r="D262" s="34">
        <v>3</v>
      </c>
      <c r="E262" s="56">
        <f t="shared" ref="E262" si="239">SUM(F262:P262)</f>
        <v>865425.42264999996</v>
      </c>
      <c r="F262" s="24">
        <f>474762*(B$6+1)</f>
        <v>507995.34</v>
      </c>
      <c r="G262" s="56">
        <f>F262*0.22</f>
        <v>111758.97480000001</v>
      </c>
      <c r="H262" s="56">
        <f t="shared" ref="H262" si="240">3357*(B$7+1)*12</f>
        <v>43103.880000000005</v>
      </c>
      <c r="I262" s="24">
        <f t="shared" si="216"/>
        <v>8400</v>
      </c>
      <c r="J262" s="15">
        <v>1926</v>
      </c>
      <c r="K262" s="24">
        <f t="shared" si="237"/>
        <v>142800</v>
      </c>
      <c r="L262" s="24">
        <v>93</v>
      </c>
      <c r="M262" s="56">
        <f t="shared" ref="M262" si="241">(N262+I262+K262+F262)*0.01</f>
        <v>7015.2828500000005</v>
      </c>
      <c r="N262" s="56">
        <f>F262/12</f>
        <v>42332.945</v>
      </c>
      <c r="O262" s="56"/>
      <c r="P262" s="56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</row>
    <row r="263" spans="1:112" s="222" customFormat="1" x14ac:dyDescent="0.15">
      <c r="A263" s="218" t="s">
        <v>501</v>
      </c>
      <c r="B263" s="218"/>
      <c r="C263" s="218" t="s">
        <v>35</v>
      </c>
      <c r="D263" s="218">
        <v>3</v>
      </c>
      <c r="E263" s="219">
        <f t="shared" ref="E263" si="242">SUM(F263:P263)</f>
        <v>865425.42264999996</v>
      </c>
      <c r="F263" s="24">
        <f>474762*(B$6+1)</f>
        <v>507995.34</v>
      </c>
      <c r="G263" s="219">
        <f>F263*0.22</f>
        <v>111758.97480000001</v>
      </c>
      <c r="H263" s="219">
        <f t="shared" ref="H263" si="243">3357*(B$7+1)*12</f>
        <v>43103.880000000005</v>
      </c>
      <c r="I263" s="24">
        <f t="shared" si="216"/>
        <v>8400</v>
      </c>
      <c r="J263" s="15">
        <v>1926</v>
      </c>
      <c r="K263" s="24">
        <f t="shared" si="237"/>
        <v>142800</v>
      </c>
      <c r="L263" s="24">
        <v>93</v>
      </c>
      <c r="M263" s="219">
        <f t="shared" ref="M263" si="244">(N263+I263+K263+F263)*0.01</f>
        <v>7015.2828500000005</v>
      </c>
      <c r="N263" s="219">
        <f>F263/12</f>
        <v>42332.945</v>
      </c>
      <c r="O263" s="219"/>
      <c r="P263" s="219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  <c r="AK263" s="218"/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18"/>
      <c r="AW263" s="218"/>
      <c r="AX263" s="218"/>
      <c r="AY263" s="218"/>
      <c r="AZ263" s="218"/>
      <c r="BA263" s="218"/>
      <c r="BB263" s="218"/>
      <c r="BC263" s="218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  <c r="BZ263" s="218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  <c r="CM263" s="218"/>
      <c r="CN263" s="218"/>
      <c r="CO263" s="218"/>
      <c r="CP263" s="218"/>
      <c r="CQ263" s="218"/>
      <c r="CR263" s="218"/>
      <c r="CS263" s="218"/>
      <c r="CT263" s="218"/>
      <c r="CU263" s="218"/>
      <c r="CV263" s="218"/>
      <c r="CW263" s="218"/>
      <c r="CX263" s="218"/>
      <c r="CY263" s="218"/>
      <c r="CZ263" s="218"/>
      <c r="DA263" s="218"/>
      <c r="DB263" s="218"/>
      <c r="DC263" s="218"/>
      <c r="DD263" s="218"/>
      <c r="DE263" s="218"/>
      <c r="DF263" s="218"/>
      <c r="DG263" s="218"/>
      <c r="DH263" s="218"/>
    </row>
    <row r="264" spans="1:112" s="150" customFormat="1" x14ac:dyDescent="0.15">
      <c r="A264" s="34" t="s">
        <v>526</v>
      </c>
      <c r="B264" s="34"/>
      <c r="C264" s="34" t="s">
        <v>378</v>
      </c>
      <c r="D264" s="34">
        <v>6</v>
      </c>
      <c r="E264" s="56">
        <f t="shared" si="231"/>
        <v>634023.79461666674</v>
      </c>
      <c r="F264" s="56">
        <f>325886*(B$6+1)</f>
        <v>348698.02</v>
      </c>
      <c r="G264" s="56">
        <f>F264*0.22</f>
        <v>76713.564400000003</v>
      </c>
      <c r="H264" s="56">
        <f>3357*(B$7+1)*12</f>
        <v>43103.880000000005</v>
      </c>
      <c r="I264" s="24">
        <f t="shared" si="216"/>
        <v>8400</v>
      </c>
      <c r="J264" s="15">
        <v>1926</v>
      </c>
      <c r="K264" s="56">
        <f>10080*12</f>
        <v>120960</v>
      </c>
      <c r="L264" s="24">
        <v>93</v>
      </c>
      <c r="M264" s="56">
        <f>(N264+I264+K264+F264)*0.01</f>
        <v>5071.1618833333332</v>
      </c>
      <c r="N264" s="56">
        <f>F264/12</f>
        <v>29058.168333333335</v>
      </c>
      <c r="O264" s="56"/>
      <c r="P264" s="56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</row>
    <row r="265" spans="1:112" s="29" customFormat="1" x14ac:dyDescent="0.15">
      <c r="A265" s="34" t="s">
        <v>49</v>
      </c>
      <c r="B265" s="16"/>
      <c r="C265" s="16" t="s">
        <v>93</v>
      </c>
      <c r="D265" s="16">
        <v>5</v>
      </c>
      <c r="E265" s="24">
        <f t="shared" si="231"/>
        <v>656184.86636666674</v>
      </c>
      <c r="F265" s="24">
        <f>343843*(B$6+1)</f>
        <v>367912.01</v>
      </c>
      <c r="G265" s="24">
        <f t="shared" si="228"/>
        <v>80940.642200000002</v>
      </c>
      <c r="H265" s="24">
        <f t="shared" si="203"/>
        <v>43103.880000000005</v>
      </c>
      <c r="I265" s="24">
        <f t="shared" si="216"/>
        <v>8400</v>
      </c>
      <c r="J265" s="15">
        <v>1926</v>
      </c>
      <c r="K265" s="24">
        <f t="shared" ref="K265:K266" si="245">10080*12</f>
        <v>120960</v>
      </c>
      <c r="L265" s="24">
        <v>93</v>
      </c>
      <c r="M265" s="24">
        <v>2190</v>
      </c>
      <c r="N265" s="24">
        <f t="shared" si="230"/>
        <v>30659.334166666667</v>
      </c>
      <c r="O265" s="24"/>
      <c r="P265" s="24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</row>
    <row r="266" spans="1:112" s="29" customFormat="1" x14ac:dyDescent="0.15">
      <c r="A266" s="51" t="s">
        <v>95</v>
      </c>
      <c r="B266" s="16"/>
      <c r="C266" s="34" t="s">
        <v>541</v>
      </c>
      <c r="D266" s="16">
        <v>5</v>
      </c>
      <c r="E266" s="24">
        <f t="shared" si="231"/>
        <v>656184.86636666674</v>
      </c>
      <c r="F266" s="24">
        <f>343843*(B$6+1)</f>
        <v>367912.01</v>
      </c>
      <c r="G266" s="24">
        <f t="shared" si="228"/>
        <v>80940.642200000002</v>
      </c>
      <c r="H266" s="24">
        <f t="shared" si="203"/>
        <v>43103.880000000005</v>
      </c>
      <c r="I266" s="24">
        <f t="shared" si="216"/>
        <v>8400</v>
      </c>
      <c r="J266" s="15">
        <v>1926</v>
      </c>
      <c r="K266" s="24">
        <f t="shared" si="245"/>
        <v>120960</v>
      </c>
      <c r="L266" s="24">
        <v>93</v>
      </c>
      <c r="M266" s="24">
        <v>2190</v>
      </c>
      <c r="N266" s="24">
        <f t="shared" si="230"/>
        <v>30659.334166666667</v>
      </c>
      <c r="O266" s="24"/>
      <c r="P266" s="24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</row>
    <row r="267" spans="1:112" s="29" customFormat="1" x14ac:dyDescent="0.15">
      <c r="A267" s="34" t="s">
        <v>555</v>
      </c>
      <c r="B267" s="16"/>
      <c r="C267" s="16" t="s">
        <v>412</v>
      </c>
      <c r="D267" s="16"/>
      <c r="E267" s="24">
        <f t="shared" si="231"/>
        <v>397377.43854166666</v>
      </c>
      <c r="F267" s="24">
        <f t="shared" ref="F267" si="246">244475*(B$6+1)</f>
        <v>261588.25000000003</v>
      </c>
      <c r="G267" s="24">
        <f>F267*0.22</f>
        <v>57549.415000000008</v>
      </c>
      <c r="H267" s="24">
        <f t="shared" si="203"/>
        <v>43103.880000000005</v>
      </c>
      <c r="I267" s="24">
        <f t="shared" si="216"/>
        <v>8400</v>
      </c>
      <c r="J267" s="15">
        <v>1926</v>
      </c>
      <c r="K267" s="24">
        <v>0</v>
      </c>
      <c r="L267" s="24">
        <v>93</v>
      </c>
      <c r="M267" s="24">
        <f>(N267+I267+K267+F267)*0.01</f>
        <v>2917.8727083333338</v>
      </c>
      <c r="N267" s="24">
        <f>F267/12</f>
        <v>21799.020833333336</v>
      </c>
      <c r="O267" s="24"/>
      <c r="P267" s="24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</row>
    <row r="268" spans="1:112" s="144" customFormat="1" x14ac:dyDescent="0.15">
      <c r="A268" s="144" t="s">
        <v>342</v>
      </c>
      <c r="C268" s="144" t="s">
        <v>94</v>
      </c>
      <c r="D268" s="144">
        <v>3</v>
      </c>
      <c r="E268" s="24">
        <f t="shared" si="231"/>
        <v>854517.42264999996</v>
      </c>
      <c r="F268" s="24">
        <f>474762*(B$6+1)</f>
        <v>507995.34</v>
      </c>
      <c r="G268" s="24">
        <f>F268*0.22</f>
        <v>111758.97480000001</v>
      </c>
      <c r="H268" s="24">
        <f t="shared" si="203"/>
        <v>43103.880000000005</v>
      </c>
      <c r="I268" s="24">
        <f t="shared" si="216"/>
        <v>8400</v>
      </c>
      <c r="J268" s="15">
        <v>1926</v>
      </c>
      <c r="K268" s="24">
        <f>11000*12</f>
        <v>132000</v>
      </c>
      <c r="L268" s="24">
        <v>93</v>
      </c>
      <c r="M268" s="24">
        <f t="shared" ref="M268" si="247">(N268+I268+K268+F268)*0.01</f>
        <v>6907.2828500000005</v>
      </c>
      <c r="N268" s="24">
        <f>F268/12</f>
        <v>42332.945</v>
      </c>
      <c r="O268" s="24"/>
      <c r="P268" s="145"/>
    </row>
    <row r="269" spans="1:112" s="34" customFormat="1" x14ac:dyDescent="0.15">
      <c r="A269" s="34" t="s">
        <v>566</v>
      </c>
      <c r="C269" s="34" t="s">
        <v>590</v>
      </c>
      <c r="E269" s="56">
        <f t="shared" si="231"/>
        <v>120000</v>
      </c>
      <c r="F269" s="56">
        <v>120000</v>
      </c>
      <c r="G269" s="56"/>
      <c r="H269" s="56"/>
      <c r="I269" s="56"/>
      <c r="J269" s="56"/>
      <c r="K269" s="56"/>
      <c r="L269" s="56"/>
      <c r="M269" s="56"/>
      <c r="N269" s="56"/>
      <c r="O269" s="56"/>
      <c r="P269" s="56"/>
    </row>
    <row r="270" spans="1:112" s="34" customFormat="1" x14ac:dyDescent="0.15">
      <c r="A270" s="34" t="s">
        <v>566</v>
      </c>
      <c r="C270" s="34" t="s">
        <v>591</v>
      </c>
      <c r="E270" s="56">
        <f t="shared" si="231"/>
        <v>120000</v>
      </c>
      <c r="F270" s="56">
        <v>120000</v>
      </c>
      <c r="G270" s="56"/>
      <c r="H270" s="56"/>
      <c r="I270" s="56"/>
      <c r="J270" s="56"/>
      <c r="K270" s="56"/>
      <c r="L270" s="56"/>
      <c r="M270" s="56"/>
      <c r="N270" s="56"/>
      <c r="O270" s="56"/>
      <c r="P270" s="56"/>
    </row>
    <row r="271" spans="1:112" s="34" customFormat="1" x14ac:dyDescent="0.15">
      <c r="A271" s="34" t="s">
        <v>592</v>
      </c>
      <c r="C271" s="34" t="s">
        <v>593</v>
      </c>
      <c r="E271" s="56">
        <f t="shared" si="231"/>
        <v>120000</v>
      </c>
      <c r="F271" s="56">
        <v>120000</v>
      </c>
      <c r="G271" s="56"/>
      <c r="H271" s="56"/>
      <c r="I271" s="56"/>
      <c r="J271" s="56"/>
      <c r="K271" s="56"/>
      <c r="L271" s="56"/>
      <c r="M271" s="56"/>
      <c r="N271" s="56"/>
      <c r="O271" s="56"/>
      <c r="P271" s="56"/>
    </row>
    <row r="272" spans="1:112" s="144" customFormat="1" x14ac:dyDescent="0.15">
      <c r="A272" s="34" t="s">
        <v>568</v>
      </c>
      <c r="C272" s="144" t="s">
        <v>567</v>
      </c>
      <c r="D272" s="34">
        <v>8</v>
      </c>
      <c r="E272" s="56">
        <f t="shared" ref="E272" si="248">SUM(F272:P272)</f>
        <v>397377.43854166666</v>
      </c>
      <c r="F272" s="56">
        <f>244475*(B$6+1)</f>
        <v>261588.25000000003</v>
      </c>
      <c r="G272" s="56">
        <f>F272*0.22</f>
        <v>57549.415000000008</v>
      </c>
      <c r="H272" s="56">
        <f t="shared" ref="H272" si="249">3357*(B$7+1)*12</f>
        <v>43103.880000000005</v>
      </c>
      <c r="I272" s="24">
        <f t="shared" ref="I272:I275" si="250">700*12</f>
        <v>8400</v>
      </c>
      <c r="J272" s="15">
        <v>1926</v>
      </c>
      <c r="K272" s="56"/>
      <c r="L272" s="24">
        <v>93</v>
      </c>
      <c r="M272" s="56">
        <f>(N272+I272+K272+F272)*0.01</f>
        <v>2917.8727083333338</v>
      </c>
      <c r="N272" s="56">
        <f>F272/12</f>
        <v>21799.020833333336</v>
      </c>
      <c r="O272" s="24"/>
      <c r="P272" s="145"/>
    </row>
    <row r="273" spans="1:112" s="29" customFormat="1" x14ac:dyDescent="0.15">
      <c r="A273" s="16" t="s">
        <v>594</v>
      </c>
      <c r="B273" s="16"/>
      <c r="C273" s="16" t="s">
        <v>595</v>
      </c>
      <c r="D273" s="16">
        <v>7</v>
      </c>
      <c r="E273" s="24">
        <f t="shared" si="231"/>
        <v>407922.87882500002</v>
      </c>
      <c r="F273" s="24">
        <f>247281*(B$6+1)</f>
        <v>264590.67000000004</v>
      </c>
      <c r="G273" s="24">
        <f t="shared" si="228"/>
        <v>58209.947400000012</v>
      </c>
      <c r="H273" s="24">
        <f>3871*(B$7+1)*12</f>
        <v>49703.64</v>
      </c>
      <c r="I273" s="24">
        <f t="shared" si="250"/>
        <v>8400</v>
      </c>
      <c r="J273" s="15">
        <v>1926</v>
      </c>
      <c r="K273" s="24">
        <f>0*12</f>
        <v>0</v>
      </c>
      <c r="L273" s="24">
        <v>93</v>
      </c>
      <c r="M273" s="24">
        <f t="shared" ref="M273:M274" si="251">(N273+I273+K273+F273)*0.01</f>
        <v>2950.3989250000009</v>
      </c>
      <c r="N273" s="24">
        <f t="shared" si="230"/>
        <v>22049.222500000003</v>
      </c>
      <c r="O273" s="24"/>
      <c r="P273" s="24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</row>
    <row r="274" spans="1:112" s="144" customFormat="1" x14ac:dyDescent="0.15">
      <c r="A274" s="144" t="s">
        <v>48</v>
      </c>
      <c r="C274" s="144" t="s">
        <v>328</v>
      </c>
      <c r="D274" s="144">
        <v>2</v>
      </c>
      <c r="E274" s="24">
        <f t="shared" si="231"/>
        <v>966800.57564166677</v>
      </c>
      <c r="F274" s="24">
        <f>533543*(B$6+1)</f>
        <v>570891.01</v>
      </c>
      <c r="G274" s="145">
        <f t="shared" ref="G274" si="252">F274*0.22</f>
        <v>125596.02220000001</v>
      </c>
      <c r="H274" s="24">
        <f>3871*(B$7+1)*12</f>
        <v>49703.64</v>
      </c>
      <c r="I274" s="24">
        <f t="shared" si="250"/>
        <v>8400</v>
      </c>
      <c r="J274" s="15">
        <v>1926</v>
      </c>
      <c r="K274" s="67">
        <f t="shared" ref="K274" si="253">12900*12</f>
        <v>154800</v>
      </c>
      <c r="L274" s="24">
        <v>93</v>
      </c>
      <c r="M274" s="145">
        <f t="shared" si="251"/>
        <v>7816.6526083333338</v>
      </c>
      <c r="N274" s="145">
        <f t="shared" si="230"/>
        <v>47574.250833333332</v>
      </c>
      <c r="O274" s="145"/>
      <c r="P274" s="145"/>
    </row>
    <row r="275" spans="1:112" s="34" customFormat="1" x14ac:dyDescent="0.15">
      <c r="A275" s="34" t="s">
        <v>553</v>
      </c>
      <c r="C275" s="34" t="s">
        <v>554</v>
      </c>
      <c r="D275" s="34">
        <v>8</v>
      </c>
      <c r="E275" s="56">
        <f t="shared" si="231"/>
        <v>397377.43854166666</v>
      </c>
      <c r="F275" s="56">
        <f>244475*(B$6+1)</f>
        <v>261588.25000000003</v>
      </c>
      <c r="G275" s="56">
        <f>F275*0.22</f>
        <v>57549.415000000008</v>
      </c>
      <c r="H275" s="56">
        <f t="shared" si="203"/>
        <v>43103.880000000005</v>
      </c>
      <c r="I275" s="24">
        <f t="shared" si="250"/>
        <v>8400</v>
      </c>
      <c r="J275" s="15">
        <v>1926</v>
      </c>
      <c r="K275" s="56"/>
      <c r="L275" s="24">
        <v>93</v>
      </c>
      <c r="M275" s="56">
        <f>(N275+I275+K275+F275)*0.01</f>
        <v>2917.8727083333338</v>
      </c>
      <c r="N275" s="56">
        <f>F275/12</f>
        <v>21799.020833333336</v>
      </c>
      <c r="O275" s="56"/>
      <c r="P275" s="56"/>
    </row>
    <row r="276" spans="1:112" s="218" customFormat="1" x14ac:dyDescent="0.15">
      <c r="A276" s="34" t="s">
        <v>193</v>
      </c>
      <c r="E276" s="24">
        <f t="shared" si="231"/>
        <v>350000</v>
      </c>
      <c r="F276" s="219"/>
      <c r="G276" s="219"/>
      <c r="H276" s="219"/>
      <c r="I276" s="219"/>
      <c r="J276" s="219"/>
      <c r="K276" s="219"/>
      <c r="L276" s="219"/>
      <c r="M276" s="219"/>
      <c r="N276" s="219"/>
      <c r="O276" s="219">
        <v>350000</v>
      </c>
      <c r="P276" s="219"/>
    </row>
    <row r="277" spans="1:112" s="144" customFormat="1" x14ac:dyDescent="0.15">
      <c r="A277" s="144" t="s">
        <v>200</v>
      </c>
      <c r="E277" s="24">
        <f t="shared" si="231"/>
        <v>55876</v>
      </c>
      <c r="F277" s="24"/>
      <c r="G277" s="145"/>
      <c r="H277" s="24"/>
      <c r="I277" s="145"/>
      <c r="J277" s="145"/>
      <c r="K277" s="145"/>
      <c r="L277" s="145"/>
      <c r="M277" s="145"/>
      <c r="N277" s="145"/>
      <c r="O277" s="145"/>
      <c r="P277" s="145">
        <v>55876</v>
      </c>
    </row>
    <row r="278" spans="1:112" s="222" customFormat="1" x14ac:dyDescent="0.15">
      <c r="A278" s="218"/>
      <c r="B278" s="218"/>
      <c r="C278" s="218"/>
      <c r="D278" s="218"/>
      <c r="E278" s="219"/>
      <c r="F278" s="219"/>
      <c r="G278" s="219"/>
      <c r="H278" s="219"/>
      <c r="I278" s="219"/>
      <c r="J278" s="220"/>
      <c r="K278" s="219"/>
      <c r="L278" s="219"/>
      <c r="M278" s="219"/>
      <c r="N278" s="219"/>
      <c r="O278" s="219"/>
      <c r="P278" s="219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18"/>
      <c r="AX278" s="218"/>
      <c r="AY278" s="218"/>
      <c r="AZ278" s="218"/>
      <c r="BA278" s="218"/>
      <c r="BB278" s="218"/>
      <c r="BC278" s="218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  <c r="BZ278" s="218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  <c r="CM278" s="218"/>
      <c r="CN278" s="218"/>
      <c r="CO278" s="218"/>
      <c r="CP278" s="218"/>
      <c r="CQ278" s="218"/>
      <c r="CR278" s="218"/>
      <c r="CS278" s="218"/>
      <c r="CT278" s="218"/>
      <c r="CU278" s="218"/>
      <c r="CV278" s="218"/>
      <c r="CW278" s="218"/>
      <c r="CX278" s="218"/>
      <c r="CY278" s="218"/>
      <c r="CZ278" s="218"/>
      <c r="DA278" s="218"/>
      <c r="DB278" s="218"/>
      <c r="DC278" s="218"/>
      <c r="DD278" s="218"/>
      <c r="DE278" s="218"/>
      <c r="DF278" s="218"/>
      <c r="DG278" s="218"/>
      <c r="DH278" s="218"/>
    </row>
    <row r="279" spans="1:112" s="147" customFormat="1" x14ac:dyDescent="0.15">
      <c r="A279" s="144" t="s">
        <v>372</v>
      </c>
      <c r="B279" s="144"/>
      <c r="C279" s="144"/>
      <c r="D279" s="144"/>
      <c r="E279" s="145">
        <f>SUM(F279:N279)</f>
        <v>0</v>
      </c>
      <c r="F279" s="145"/>
      <c r="G279" s="145"/>
      <c r="H279" s="145"/>
      <c r="I279" s="145"/>
      <c r="J279" s="146"/>
      <c r="K279" s="145"/>
      <c r="L279" s="145"/>
      <c r="M279" s="145"/>
      <c r="N279" s="145"/>
      <c r="O279" s="145"/>
      <c r="P279" s="145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44"/>
      <c r="BX279" s="144"/>
      <c r="BY279" s="144"/>
      <c r="BZ279" s="144"/>
      <c r="CA279" s="144"/>
      <c r="CB279" s="144"/>
      <c r="CC279" s="144"/>
      <c r="CD279" s="144"/>
      <c r="CE279" s="144"/>
      <c r="CF279" s="144"/>
      <c r="CG279" s="144"/>
      <c r="CH279" s="144"/>
      <c r="CI279" s="144"/>
      <c r="CJ279" s="144"/>
      <c r="CK279" s="144"/>
      <c r="CL279" s="144"/>
      <c r="CM279" s="144"/>
      <c r="CN279" s="144"/>
      <c r="CO279" s="144"/>
      <c r="CP279" s="144"/>
      <c r="CQ279" s="144"/>
      <c r="CR279" s="144"/>
      <c r="CS279" s="144"/>
      <c r="CT279" s="144"/>
      <c r="CU279" s="144"/>
      <c r="CV279" s="144"/>
      <c r="CW279" s="144"/>
      <c r="CX279" s="144"/>
      <c r="CY279" s="144"/>
      <c r="CZ279" s="144"/>
      <c r="DA279" s="144"/>
      <c r="DB279" s="144"/>
      <c r="DC279" s="144"/>
      <c r="DD279" s="144"/>
      <c r="DE279" s="144"/>
      <c r="DF279" s="144"/>
      <c r="DG279" s="144"/>
      <c r="DH279" s="144"/>
    </row>
    <row r="280" spans="1:112" ht="14" thickBot="1" x14ac:dyDescent="0.2">
      <c r="E280" s="39">
        <f>SUM(E247:E279)</f>
        <v>20539227.016116668</v>
      </c>
      <c r="F280" s="39">
        <f t="shared" ref="F280:N280" si="254">SUM(F247:F279)</f>
        <v>12117399.679999998</v>
      </c>
      <c r="G280" s="39">
        <f t="shared" si="254"/>
        <v>2418841.0892000003</v>
      </c>
      <c r="H280" s="39">
        <f t="shared" si="254"/>
        <v>1147099.92</v>
      </c>
      <c r="I280" s="39">
        <f t="shared" si="254"/>
        <v>210000</v>
      </c>
      <c r="J280" s="39">
        <f t="shared" si="254"/>
        <v>50076</v>
      </c>
      <c r="K280" s="39">
        <f t="shared" si="254"/>
        <v>3010320</v>
      </c>
      <c r="L280" s="39">
        <f t="shared" si="254"/>
        <v>2418</v>
      </c>
      <c r="M280" s="39">
        <f t="shared" si="254"/>
        <v>131753.12295000002</v>
      </c>
      <c r="N280" s="39">
        <f t="shared" si="254"/>
        <v>1045443.2039666667</v>
      </c>
      <c r="O280" s="39">
        <f t="shared" ref="O280" si="255">SUM(O247:O279)</f>
        <v>350000</v>
      </c>
      <c r="P280" s="39">
        <f t="shared" ref="P280" si="256">SUM(P247:P279)</f>
        <v>55876</v>
      </c>
    </row>
    <row r="281" spans="1:112" ht="14" thickTop="1" x14ac:dyDescent="0.15">
      <c r="C281" s="16" t="s">
        <v>237</v>
      </c>
      <c r="D281" s="16">
        <f>COUNT(D247:D280)</f>
        <v>25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1:112" x14ac:dyDescent="0.1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1:112" x14ac:dyDescent="0.1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1:112" x14ac:dyDescent="0.15">
      <c r="A284" s="45" t="s">
        <v>371</v>
      </c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1:112" x14ac:dyDescent="0.15">
      <c r="C285" s="16" t="s">
        <v>212</v>
      </c>
      <c r="D285" s="38" t="s">
        <v>213</v>
      </c>
      <c r="E285" s="38" t="s">
        <v>214</v>
      </c>
      <c r="F285" s="38" t="s">
        <v>215</v>
      </c>
      <c r="G285" s="38" t="s">
        <v>216</v>
      </c>
      <c r="H285" s="38" t="s">
        <v>217</v>
      </c>
      <c r="I285" s="38" t="s">
        <v>218</v>
      </c>
      <c r="J285" s="38" t="s">
        <v>219</v>
      </c>
      <c r="K285" s="38" t="s">
        <v>220</v>
      </c>
      <c r="L285" s="38" t="s">
        <v>221</v>
      </c>
      <c r="M285" s="38" t="s">
        <v>222</v>
      </c>
      <c r="N285" s="38" t="s">
        <v>223</v>
      </c>
      <c r="O285" s="38" t="s">
        <v>421</v>
      </c>
      <c r="P285" s="24" t="s">
        <v>200</v>
      </c>
    </row>
    <row r="286" spans="1:112" x14ac:dyDescent="0.15">
      <c r="D286" s="38" t="s">
        <v>224</v>
      </c>
      <c r="E286" s="38" t="s">
        <v>225</v>
      </c>
      <c r="F286" s="38"/>
      <c r="G286" s="38" t="s">
        <v>226</v>
      </c>
      <c r="H286" s="38" t="s">
        <v>226</v>
      </c>
      <c r="I286" s="38" t="s">
        <v>227</v>
      </c>
      <c r="J286" s="38"/>
      <c r="K286" s="38" t="s">
        <v>228</v>
      </c>
      <c r="L286" s="38" t="s">
        <v>229</v>
      </c>
      <c r="M286" s="38" t="s">
        <v>230</v>
      </c>
      <c r="N286" s="38" t="s">
        <v>231</v>
      </c>
      <c r="O286" s="38" t="s">
        <v>228</v>
      </c>
    </row>
    <row r="287" spans="1:112" x14ac:dyDescent="0.15">
      <c r="A287" s="174" t="s">
        <v>598</v>
      </c>
      <c r="C287" s="16" t="s">
        <v>457</v>
      </c>
      <c r="D287" s="16">
        <v>0</v>
      </c>
      <c r="E287" s="24">
        <f t="shared" ref="E287:E288" si="257">SUM(F287:P287)</f>
        <v>1482929.9136000001</v>
      </c>
      <c r="F287" s="24">
        <f>838832*(B$6+1)</f>
        <v>897550.24000000011</v>
      </c>
      <c r="G287" s="24">
        <v>0</v>
      </c>
      <c r="H287" s="24">
        <f>3871*(B$7+1)*12</f>
        <v>49703.64</v>
      </c>
      <c r="I287" s="24">
        <f>6500*12</f>
        <v>78000</v>
      </c>
      <c r="J287" s="15">
        <v>1926</v>
      </c>
      <c r="K287" s="24">
        <f>27500*12</f>
        <v>330000</v>
      </c>
      <c r="L287" s="24">
        <v>93</v>
      </c>
      <c r="M287" s="24">
        <v>0</v>
      </c>
      <c r="N287" s="24">
        <f>F287*0.14</f>
        <v>125657.03360000002</v>
      </c>
      <c r="O287" s="38"/>
    </row>
    <row r="288" spans="1:112" x14ac:dyDescent="0.15">
      <c r="A288" s="34" t="s">
        <v>344</v>
      </c>
      <c r="C288" s="59" t="s">
        <v>84</v>
      </c>
      <c r="D288" s="16">
        <v>2</v>
      </c>
      <c r="E288" s="24">
        <f t="shared" si="257"/>
        <v>955722.89564166672</v>
      </c>
      <c r="F288" s="24">
        <f>533543*(B$6+1)</f>
        <v>570891.01</v>
      </c>
      <c r="G288" s="24">
        <f>F288*0.22</f>
        <v>125596.02220000001</v>
      </c>
      <c r="H288" s="24">
        <f>3871*(B$7+1)*12</f>
        <v>49703.64</v>
      </c>
      <c r="I288" s="24">
        <f t="shared" ref="I288:I294" si="258">686*12</f>
        <v>8232</v>
      </c>
      <c r="J288" s="15">
        <v>1926</v>
      </c>
      <c r="K288" s="24">
        <f>12000*12</f>
        <v>144000</v>
      </c>
      <c r="L288" s="24">
        <v>93</v>
      </c>
      <c r="M288" s="24">
        <f t="shared" ref="M288:M292" si="259">(N288+I288+K288+F288)*0.01</f>
        <v>7706.9726083333335</v>
      </c>
      <c r="N288" s="24">
        <f>F288/12</f>
        <v>47574.250833333332</v>
      </c>
      <c r="O288" s="24"/>
      <c r="P288" s="212"/>
    </row>
    <row r="289" spans="1:112" s="246" customFormat="1" x14ac:dyDescent="0.15">
      <c r="A289" s="144" t="s">
        <v>543</v>
      </c>
      <c r="B289" s="144"/>
      <c r="C289" s="144" t="s">
        <v>542</v>
      </c>
      <c r="D289" s="144">
        <v>5</v>
      </c>
      <c r="E289" s="145">
        <f t="shared" ref="E289" si="260">SUM(F289:P289)</f>
        <v>678537.72346666665</v>
      </c>
      <c r="F289" s="145">
        <f>359992*(B$6+1)</f>
        <v>385191.44</v>
      </c>
      <c r="G289" s="145">
        <f t="shared" ref="G289" si="261">F289*0.22</f>
        <v>84742.116800000003</v>
      </c>
      <c r="H289" s="145">
        <f t="shared" ref="H289:H293" si="262">3357*(B$7+1)*12</f>
        <v>43103.880000000005</v>
      </c>
      <c r="I289" s="145">
        <f t="shared" si="258"/>
        <v>8232</v>
      </c>
      <c r="J289" s="15">
        <v>1926</v>
      </c>
      <c r="K289" s="145">
        <f t="shared" ref="K289" si="263">10080*12</f>
        <v>120960</v>
      </c>
      <c r="L289" s="24">
        <v>93</v>
      </c>
      <c r="M289" s="145">
        <v>2190</v>
      </c>
      <c r="N289" s="145">
        <f t="shared" ref="N289" si="264">F289/12</f>
        <v>32099.286666666667</v>
      </c>
      <c r="O289" s="145"/>
      <c r="P289" s="245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4"/>
      <c r="BJ289" s="144"/>
      <c r="BK289" s="144"/>
      <c r="BL289" s="144"/>
      <c r="BM289" s="144"/>
      <c r="BN289" s="144"/>
      <c r="BO289" s="144"/>
      <c r="BP289" s="144"/>
      <c r="BQ289" s="144"/>
      <c r="BR289" s="144"/>
      <c r="BS289" s="144"/>
      <c r="BT289" s="144"/>
      <c r="BU289" s="144"/>
      <c r="BV289" s="144"/>
      <c r="BW289" s="144"/>
      <c r="BX289" s="144"/>
      <c r="BY289" s="144"/>
      <c r="BZ289" s="144"/>
      <c r="CA289" s="144"/>
      <c r="CB289" s="144"/>
      <c r="CC289" s="144"/>
      <c r="CD289" s="144"/>
      <c r="CE289" s="144"/>
      <c r="CF289" s="144"/>
      <c r="CG289" s="144"/>
      <c r="CH289" s="144"/>
      <c r="CI289" s="144"/>
      <c r="CJ289" s="144"/>
      <c r="CK289" s="144"/>
      <c r="CL289" s="144"/>
      <c r="CM289" s="144"/>
      <c r="CN289" s="144"/>
      <c r="CO289" s="144"/>
      <c r="CP289" s="144"/>
      <c r="CQ289" s="144"/>
      <c r="CR289" s="144"/>
      <c r="CS289" s="144"/>
      <c r="CT289" s="144"/>
      <c r="CU289" s="144"/>
      <c r="CV289" s="144"/>
      <c r="CW289" s="144"/>
      <c r="CX289" s="144"/>
      <c r="CY289" s="144"/>
      <c r="CZ289" s="144"/>
      <c r="DA289" s="144"/>
      <c r="DB289" s="144"/>
      <c r="DC289" s="144"/>
      <c r="DD289" s="144"/>
      <c r="DE289" s="144"/>
      <c r="DF289" s="144"/>
      <c r="DG289" s="144"/>
      <c r="DH289" s="144"/>
    </row>
    <row r="290" spans="1:112" x14ac:dyDescent="0.15">
      <c r="A290" s="34" t="s">
        <v>75</v>
      </c>
      <c r="C290" s="34" t="s">
        <v>43</v>
      </c>
      <c r="D290" s="16">
        <v>3</v>
      </c>
      <c r="E290" s="24">
        <f t="shared" ref="E290" si="265">SUM(F290:P290)</f>
        <v>860947.50265000004</v>
      </c>
      <c r="F290" s="24">
        <f>474762*(B$6+1)</f>
        <v>507995.34</v>
      </c>
      <c r="G290" s="24">
        <f t="shared" ref="G290:G292" si="266">F290*0.22</f>
        <v>111758.97480000001</v>
      </c>
      <c r="H290" s="24">
        <f>3871*(B$7+1)*12</f>
        <v>49703.64</v>
      </c>
      <c r="I290" s="24">
        <f t="shared" si="258"/>
        <v>8232</v>
      </c>
      <c r="J290" s="15">
        <v>1926</v>
      </c>
      <c r="K290" s="24">
        <f>11000*12</f>
        <v>132000</v>
      </c>
      <c r="L290" s="24">
        <v>93</v>
      </c>
      <c r="M290" s="24">
        <f t="shared" si="259"/>
        <v>6905.6028500000002</v>
      </c>
      <c r="N290" s="24">
        <f t="shared" ref="N290:N292" si="267">F290/12</f>
        <v>42332.945</v>
      </c>
      <c r="O290" s="24"/>
    </row>
    <row r="291" spans="1:112" x14ac:dyDescent="0.15">
      <c r="A291" s="34" t="s">
        <v>76</v>
      </c>
      <c r="B291" s="32"/>
      <c r="C291" s="16" t="s">
        <v>40</v>
      </c>
      <c r="D291" s="59">
        <v>8</v>
      </c>
      <c r="E291" s="24">
        <f t="shared" ref="E291:E294" si="268">SUM(F291:P291)</f>
        <v>503621.3585416667</v>
      </c>
      <c r="F291" s="24">
        <f>244475*(B$6+1)</f>
        <v>261588.25000000003</v>
      </c>
      <c r="G291" s="24">
        <f t="shared" si="266"/>
        <v>57549.415000000008</v>
      </c>
      <c r="H291" s="24">
        <f t="shared" si="262"/>
        <v>43103.880000000005</v>
      </c>
      <c r="I291" s="24">
        <f t="shared" si="258"/>
        <v>8232</v>
      </c>
      <c r="J291" s="15">
        <v>1926</v>
      </c>
      <c r="K291" s="88">
        <f>8780*12</f>
        <v>105360</v>
      </c>
      <c r="L291" s="24">
        <v>93</v>
      </c>
      <c r="M291" s="24">
        <f t="shared" si="259"/>
        <v>3969.7927083333338</v>
      </c>
      <c r="N291" s="24">
        <f t="shared" si="267"/>
        <v>21799.020833333336</v>
      </c>
      <c r="O291" s="24"/>
      <c r="P291" s="212"/>
    </row>
    <row r="292" spans="1:112" x14ac:dyDescent="0.15">
      <c r="A292" s="34" t="s">
        <v>76</v>
      </c>
      <c r="B292" s="32"/>
      <c r="C292" s="59" t="s">
        <v>301</v>
      </c>
      <c r="D292" s="16">
        <v>8</v>
      </c>
      <c r="E292" s="24">
        <f t="shared" si="268"/>
        <v>503621.3585416667</v>
      </c>
      <c r="F292" s="24">
        <f>244475*(B$6+1)</f>
        <v>261588.25000000003</v>
      </c>
      <c r="G292" s="24">
        <f t="shared" si="266"/>
        <v>57549.415000000008</v>
      </c>
      <c r="H292" s="24">
        <f t="shared" si="262"/>
        <v>43103.880000000005</v>
      </c>
      <c r="I292" s="24">
        <f t="shared" si="258"/>
        <v>8232</v>
      </c>
      <c r="J292" s="15">
        <v>1926</v>
      </c>
      <c r="K292" s="24">
        <f>8780*12</f>
        <v>105360</v>
      </c>
      <c r="L292" s="24">
        <v>93</v>
      </c>
      <c r="M292" s="24">
        <f t="shared" si="259"/>
        <v>3969.7927083333338</v>
      </c>
      <c r="N292" s="24">
        <f t="shared" si="267"/>
        <v>21799.020833333336</v>
      </c>
      <c r="O292" s="24"/>
      <c r="P292" s="212"/>
    </row>
    <row r="293" spans="1:112" x14ac:dyDescent="0.15">
      <c r="A293" s="34" t="s">
        <v>337</v>
      </c>
      <c r="C293" s="16" t="s">
        <v>79</v>
      </c>
      <c r="D293" s="16">
        <v>9</v>
      </c>
      <c r="E293" s="24">
        <f t="shared" si="268"/>
        <v>343461.57472500007</v>
      </c>
      <c r="F293" s="24">
        <f>206253*(B$6+1)</f>
        <v>220690.71000000002</v>
      </c>
      <c r="G293" s="24">
        <f>F293*0.22</f>
        <v>48551.956200000008</v>
      </c>
      <c r="H293" s="24">
        <f t="shared" si="262"/>
        <v>43103.880000000005</v>
      </c>
      <c r="I293" s="24">
        <f t="shared" si="258"/>
        <v>8232</v>
      </c>
      <c r="J293" s="15">
        <v>1926</v>
      </c>
      <c r="K293" s="24">
        <v>0</v>
      </c>
      <c r="L293" s="24">
        <v>93</v>
      </c>
      <c r="M293" s="24">
        <f>(N293+I293+K293+F293)*0.01</f>
        <v>2473.1360250000002</v>
      </c>
      <c r="N293" s="24">
        <f>F293/12</f>
        <v>18390.892500000002</v>
      </c>
      <c r="O293" s="24"/>
    </row>
    <row r="294" spans="1:112" x14ac:dyDescent="0.15">
      <c r="A294" s="16" t="s">
        <v>103</v>
      </c>
      <c r="C294" s="34" t="s">
        <v>336</v>
      </c>
      <c r="D294" s="227" t="s">
        <v>394</v>
      </c>
      <c r="E294" s="24">
        <f t="shared" si="268"/>
        <v>860947.50265000004</v>
      </c>
      <c r="F294" s="24">
        <f>474762*(B$6+1)</f>
        <v>507995.34</v>
      </c>
      <c r="G294" s="24">
        <f t="shared" ref="G294" si="269">F294*0.22</f>
        <v>111758.97480000001</v>
      </c>
      <c r="H294" s="24">
        <f>3871*(B$7+1)*12</f>
        <v>49703.64</v>
      </c>
      <c r="I294" s="24">
        <f t="shared" si="258"/>
        <v>8232</v>
      </c>
      <c r="J294" s="15">
        <v>1926</v>
      </c>
      <c r="K294" s="24">
        <f>11000*12</f>
        <v>132000</v>
      </c>
      <c r="L294" s="24">
        <v>93</v>
      </c>
      <c r="M294" s="24">
        <f t="shared" ref="M294" si="270">(N294+I294+K294+F294)*0.01</f>
        <v>6905.6028500000002</v>
      </c>
      <c r="N294" s="24">
        <f t="shared" ref="N294" si="271">F294/12</f>
        <v>42332.945</v>
      </c>
      <c r="O294" s="24"/>
    </row>
    <row r="295" spans="1:112" x14ac:dyDescent="0.15">
      <c r="A295" s="34" t="s">
        <v>76</v>
      </c>
      <c r="B295" s="32"/>
      <c r="C295" s="16" t="s">
        <v>61</v>
      </c>
      <c r="D295" s="16">
        <v>8</v>
      </c>
      <c r="E295" s="24">
        <f>SUM(F295:P295)</f>
        <v>397207.75854166667</v>
      </c>
      <c r="F295" s="24">
        <f>244475*(B$6+1)</f>
        <v>261588.25000000003</v>
      </c>
      <c r="G295" s="24">
        <f>F295*0.22</f>
        <v>57549.415000000008</v>
      </c>
      <c r="H295" s="24">
        <f t="shared" si="68"/>
        <v>43103.880000000005</v>
      </c>
      <c r="I295" s="24">
        <f t="shared" ref="I295" si="272">686*12</f>
        <v>8232</v>
      </c>
      <c r="J295" s="15">
        <v>1926</v>
      </c>
      <c r="K295" s="24">
        <v>0</v>
      </c>
      <c r="L295" s="24">
        <v>93</v>
      </c>
      <c r="M295" s="24">
        <f>(N295+I295+K295+F295)*0.01</f>
        <v>2916.1927083333339</v>
      </c>
      <c r="N295" s="24">
        <f>F295/12</f>
        <v>21799.020833333336</v>
      </c>
      <c r="O295" s="24"/>
    </row>
    <row r="296" spans="1:112" x14ac:dyDescent="0.15">
      <c r="A296" s="34" t="s">
        <v>76</v>
      </c>
      <c r="B296" s="32"/>
      <c r="C296" s="16" t="s">
        <v>82</v>
      </c>
      <c r="D296" s="16">
        <v>10</v>
      </c>
      <c r="E296" s="24">
        <f>SUM(F296:P296)</f>
        <v>292261.94364999997</v>
      </c>
      <c r="F296" s="24">
        <f>169842*(B$6+1)</f>
        <v>181730.94</v>
      </c>
      <c r="G296" s="24">
        <f>F296*0.22</f>
        <v>39980.806799999998</v>
      </c>
      <c r="H296" s="24">
        <f t="shared" si="68"/>
        <v>43103.880000000005</v>
      </c>
      <c r="I296" s="24">
        <f t="shared" ref="I296" si="273">686*12</f>
        <v>8232</v>
      </c>
      <c r="J296" s="15">
        <v>1926</v>
      </c>
      <c r="K296" s="24">
        <f t="shared" si="123"/>
        <v>0</v>
      </c>
      <c r="L296" s="24">
        <v>93</v>
      </c>
      <c r="M296" s="24">
        <f>(N296+I296+K296+F296)*0.01</f>
        <v>2051.0718499999998</v>
      </c>
      <c r="N296" s="24">
        <f>F296/12</f>
        <v>15144.245000000001</v>
      </c>
      <c r="O296" s="24"/>
    </row>
    <row r="297" spans="1:112" x14ac:dyDescent="0.15">
      <c r="A297" s="34" t="s">
        <v>372</v>
      </c>
      <c r="B297" s="32"/>
      <c r="C297" s="87"/>
      <c r="E297" s="24">
        <f t="shared" ref="E297:E299" si="274">SUM(F297:P297)</f>
        <v>0</v>
      </c>
      <c r="F297" s="24"/>
      <c r="G297" s="24"/>
      <c r="H297" s="24"/>
      <c r="I297" s="24"/>
      <c r="J297" s="15"/>
      <c r="K297" s="24"/>
      <c r="L297" s="24"/>
      <c r="M297" s="24"/>
      <c r="N297" s="24"/>
      <c r="O297" s="24">
        <v>0</v>
      </c>
    </row>
    <row r="298" spans="1:112" x14ac:dyDescent="0.15">
      <c r="A298" s="34" t="s">
        <v>193</v>
      </c>
      <c r="B298" s="32"/>
      <c r="C298" s="87"/>
      <c r="E298" s="24">
        <f t="shared" si="274"/>
        <v>65000</v>
      </c>
      <c r="F298" s="24"/>
      <c r="G298" s="24"/>
      <c r="H298" s="24"/>
      <c r="I298" s="24"/>
      <c r="J298" s="15"/>
      <c r="K298" s="24"/>
      <c r="L298" s="24"/>
      <c r="M298" s="24"/>
      <c r="N298" s="24"/>
      <c r="O298" s="24">
        <v>65000</v>
      </c>
    </row>
    <row r="299" spans="1:112" x14ac:dyDescent="0.15">
      <c r="A299" s="34" t="s">
        <v>200</v>
      </c>
      <c r="B299" s="32"/>
      <c r="C299" s="154"/>
      <c r="E299" s="24">
        <f t="shared" si="274"/>
        <v>67500</v>
      </c>
      <c r="F299" s="24"/>
      <c r="G299" s="24"/>
      <c r="H299" s="24"/>
      <c r="I299" s="24"/>
      <c r="J299" s="15"/>
      <c r="K299" s="24"/>
      <c r="L299" s="24"/>
      <c r="M299" s="24"/>
      <c r="N299" s="24"/>
      <c r="O299" s="24"/>
      <c r="P299" s="24">
        <v>67500</v>
      </c>
    </row>
    <row r="300" spans="1:112" ht="14" thickBot="1" x14ac:dyDescent="0.2">
      <c r="C300" s="59"/>
      <c r="E300" s="39">
        <f>SUM(E287:E299)</f>
        <v>7011759.5320083341</v>
      </c>
      <c r="F300" s="39">
        <f t="shared" ref="F300:P300" si="275">SUM(F287:F299)</f>
        <v>4056809.7699999996</v>
      </c>
      <c r="G300" s="39">
        <f t="shared" si="275"/>
        <v>695037.09660000016</v>
      </c>
      <c r="H300" s="39">
        <f t="shared" si="275"/>
        <v>457437.84</v>
      </c>
      <c r="I300" s="39">
        <f t="shared" si="275"/>
        <v>152088</v>
      </c>
      <c r="J300" s="39">
        <f t="shared" si="275"/>
        <v>19260</v>
      </c>
      <c r="K300" s="39">
        <f t="shared" si="275"/>
        <v>1069680</v>
      </c>
      <c r="L300" s="39">
        <f t="shared" si="275"/>
        <v>930</v>
      </c>
      <c r="M300" s="39">
        <f t="shared" si="275"/>
        <v>39088.16430833334</v>
      </c>
      <c r="N300" s="39">
        <f t="shared" si="275"/>
        <v>388928.66109999997</v>
      </c>
      <c r="O300" s="39">
        <f t="shared" si="275"/>
        <v>65000</v>
      </c>
      <c r="P300" s="39">
        <f t="shared" si="275"/>
        <v>67500</v>
      </c>
    </row>
    <row r="301" spans="1:112" ht="14" thickTop="1" x14ac:dyDescent="0.15">
      <c r="A301" s="16" t="s">
        <v>238</v>
      </c>
      <c r="C301" s="24"/>
      <c r="D301" s="226" t="s">
        <v>528</v>
      </c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1:112" x14ac:dyDescent="0.1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1:112" x14ac:dyDescent="0.15">
      <c r="A303" s="16" t="s">
        <v>25</v>
      </c>
      <c r="C303" s="41"/>
      <c r="E303" s="24">
        <f t="shared" ref="E303:N303" si="276">E22+E37+E45+E59+E99+E135+E153+E184+E201+E211+E227+E240+E280+E300</f>
        <v>103234906.7661</v>
      </c>
      <c r="F303" s="24">
        <f t="shared" si="276"/>
        <v>60745810.230000004</v>
      </c>
      <c r="G303" s="24">
        <f t="shared" si="276"/>
        <v>12299351.6294</v>
      </c>
      <c r="H303" s="24">
        <f t="shared" si="276"/>
        <v>6824665.4399999995</v>
      </c>
      <c r="I303" s="24">
        <f t="shared" si="276"/>
        <v>1294488</v>
      </c>
      <c r="J303" s="24">
        <f t="shared" si="276"/>
        <v>286974</v>
      </c>
      <c r="K303" s="24">
        <f t="shared" si="276"/>
        <v>14197560</v>
      </c>
      <c r="L303" s="24">
        <f t="shared" si="276"/>
        <v>14787</v>
      </c>
      <c r="M303" s="24">
        <f t="shared" si="276"/>
        <v>702999.89140000008</v>
      </c>
      <c r="N303" s="24">
        <f t="shared" si="276"/>
        <v>5198102.5753000006</v>
      </c>
      <c r="O303" s="24"/>
    </row>
    <row r="304" spans="1:112" x14ac:dyDescent="0.15">
      <c r="A304" s="16" t="s">
        <v>239</v>
      </c>
      <c r="E304" s="24">
        <f>'OPERATING BUDGET'!C30</f>
        <v>103353537.532775</v>
      </c>
      <c r="F304" s="24">
        <f>'OPERATING BUDGET'!C15</f>
        <v>60745810.230000004</v>
      </c>
      <c r="G304" s="24">
        <f>'OPERATING BUDGET'!C22</f>
        <v>12299351.6294</v>
      </c>
      <c r="H304" s="24">
        <f>'OPERATING BUDGET'!C20</f>
        <v>6824665.4399999995</v>
      </c>
      <c r="I304" s="24">
        <f>'OPERATING BUDGET'!C19</f>
        <v>1294488</v>
      </c>
      <c r="J304" s="24">
        <f>'OPERATING BUDGET'!C25</f>
        <v>329557</v>
      </c>
      <c r="K304" s="24">
        <f>'OPERATING BUDGET'!C24</f>
        <v>14197560</v>
      </c>
      <c r="L304" s="24">
        <f>'OPERATING BUDGET'!C27</f>
        <v>14167</v>
      </c>
      <c r="M304" s="24">
        <f>'OPERATING BUDGET'!C26</f>
        <v>691152.65807500016</v>
      </c>
      <c r="N304" s="24">
        <f>'OPERATING BUDGET'!C16</f>
        <v>5198102.5753000006</v>
      </c>
      <c r="O304" s="24"/>
    </row>
    <row r="305" spans="1:15" ht="14" thickBot="1" x14ac:dyDescent="0.2">
      <c r="A305" s="16" t="s">
        <v>240</v>
      </c>
      <c r="E305" s="42">
        <f t="shared" ref="E305:N305" si="277">E303-E304</f>
        <v>-118630.76667499542</v>
      </c>
      <c r="F305" s="42">
        <f t="shared" si="277"/>
        <v>0</v>
      </c>
      <c r="G305" s="42">
        <f t="shared" si="277"/>
        <v>0</v>
      </c>
      <c r="H305" s="42">
        <f t="shared" si="277"/>
        <v>0</v>
      </c>
      <c r="I305" s="42">
        <f t="shared" si="277"/>
        <v>0</v>
      </c>
      <c r="J305" s="42">
        <f t="shared" si="277"/>
        <v>-42583</v>
      </c>
      <c r="K305" s="42">
        <f t="shared" si="277"/>
        <v>0</v>
      </c>
      <c r="L305" s="42">
        <f t="shared" si="277"/>
        <v>620</v>
      </c>
      <c r="M305" s="42">
        <f t="shared" si="277"/>
        <v>11847.233324999921</v>
      </c>
      <c r="N305" s="42">
        <f t="shared" si="277"/>
        <v>0</v>
      </c>
      <c r="O305" s="52"/>
    </row>
    <row r="306" spans="1:15" x14ac:dyDescent="0.15">
      <c r="A306" s="16" t="s">
        <v>239</v>
      </c>
    </row>
    <row r="307" spans="1:15" x14ac:dyDescent="0.15">
      <c r="F307" s="24">
        <f>'OPERATING BUDGET'!C18</f>
        <v>0</v>
      </c>
      <c r="J307" s="24"/>
    </row>
    <row r="308" spans="1:15" x14ac:dyDescent="0.15">
      <c r="E308" s="41">
        <f t="shared" ref="E308:N308" si="278">SUM(E15:E300)/2</f>
        <v>103234906.76610008</v>
      </c>
      <c r="F308" s="41">
        <f t="shared" si="278"/>
        <v>60745810.230000012</v>
      </c>
      <c r="G308" s="41">
        <f t="shared" si="278"/>
        <v>12299351.629399994</v>
      </c>
      <c r="H308" s="41">
        <f t="shared" si="278"/>
        <v>6824665.4400000172</v>
      </c>
      <c r="I308" s="41">
        <f t="shared" si="278"/>
        <v>1294488</v>
      </c>
      <c r="J308" s="41">
        <f t="shared" si="278"/>
        <v>286974</v>
      </c>
      <c r="K308" s="41">
        <f t="shared" si="278"/>
        <v>14197560</v>
      </c>
      <c r="L308" s="41">
        <f t="shared" si="278"/>
        <v>14787</v>
      </c>
      <c r="M308" s="41">
        <f t="shared" si="278"/>
        <v>702999.8914000002</v>
      </c>
      <c r="N308" s="41">
        <f t="shared" si="278"/>
        <v>5198102.5753000034</v>
      </c>
      <c r="O308" s="41"/>
    </row>
    <row r="310" spans="1:15" x14ac:dyDescent="0.15">
      <c r="E310" s="41">
        <f>E303-E308</f>
        <v>0</v>
      </c>
      <c r="F310" s="41">
        <f t="shared" ref="F310:N310" si="279">F303-F308</f>
        <v>0</v>
      </c>
      <c r="G310" s="41">
        <f t="shared" si="279"/>
        <v>0</v>
      </c>
      <c r="H310" s="41">
        <f t="shared" si="279"/>
        <v>-1.7695128917694092E-8</v>
      </c>
      <c r="I310" s="41">
        <f t="shared" si="279"/>
        <v>0</v>
      </c>
      <c r="J310" s="41">
        <f t="shared" si="279"/>
        <v>0</v>
      </c>
      <c r="K310" s="41">
        <f t="shared" si="279"/>
        <v>0</v>
      </c>
      <c r="L310" s="41">
        <f t="shared" si="279"/>
        <v>0</v>
      </c>
      <c r="M310" s="41">
        <f t="shared" si="279"/>
        <v>0</v>
      </c>
      <c r="N310" s="41">
        <f t="shared" si="279"/>
        <v>0</v>
      </c>
      <c r="O310" s="41"/>
    </row>
  </sheetData>
  <phoneticPr fontId="0" type="noConversion"/>
  <pageMargins left="0.75" right="0.75" top="1" bottom="1" header="0.5" footer="0.5"/>
  <pageSetup scale="40" fitToHeight="17" orientation="landscape" r:id="rId1"/>
  <headerFooter alignWithMargins="0">
    <oddFooter>Page &amp;P of &amp;N</oddFooter>
  </headerFooter>
  <rowBreaks count="3" manualBreakCount="3">
    <brk id="58" max="14" man="1"/>
    <brk id="101" max="14" man="1"/>
    <brk id="15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4"/>
    <pageSetUpPr fitToPage="1"/>
  </sheetPr>
  <dimension ref="A1:EG300"/>
  <sheetViews>
    <sheetView tabSelected="1" view="pageBreakPreview" zoomScale="78" zoomScaleNormal="75" zoomScaleSheetLayoutView="78" zoomScalePageLayoutView="75" workbookViewId="0">
      <pane ySplit="9" topLeftCell="A45" activePane="bottomLeft" state="frozen"/>
      <selection pane="bottomLeft" activeCell="H18" sqref="H18"/>
    </sheetView>
  </sheetViews>
  <sheetFormatPr baseColWidth="10" defaultColWidth="8.83203125" defaultRowHeight="13" x14ac:dyDescent="0.15"/>
  <cols>
    <col min="1" max="1" width="6.5" style="64" customWidth="1"/>
    <col min="2" max="2" width="76" style="34" customWidth="1"/>
    <col min="3" max="3" width="14" style="62" customWidth="1"/>
    <col min="4" max="11" width="17.1640625" style="67" customWidth="1"/>
    <col min="12" max="12" width="18.33203125" style="79" bestFit="1" customWidth="1"/>
    <col min="13" max="137" width="8.83203125" style="63"/>
    <col min="138" max="16384" width="8.83203125" style="25"/>
  </cols>
  <sheetData>
    <row r="1" spans="1:137" ht="35" x14ac:dyDescent="0.25">
      <c r="A1" s="253" t="s">
        <v>207</v>
      </c>
      <c r="B1" s="253"/>
      <c r="C1" s="253"/>
      <c r="D1" s="60"/>
      <c r="E1" s="60"/>
      <c r="F1" s="106"/>
      <c r="G1" s="61"/>
      <c r="H1" s="61"/>
      <c r="I1" s="61"/>
      <c r="J1" s="61"/>
      <c r="K1" s="61"/>
      <c r="L1" s="62"/>
      <c r="EG1" s="25"/>
    </row>
    <row r="2" spans="1:137" ht="23" x14ac:dyDescent="0.25">
      <c r="B2" s="65"/>
      <c r="D2" s="66"/>
      <c r="E2" s="66"/>
      <c r="F2" s="105"/>
      <c r="H2" s="68"/>
      <c r="I2" s="90"/>
      <c r="L2" s="62"/>
      <c r="EG2" s="25"/>
    </row>
    <row r="3" spans="1:137" ht="25" x14ac:dyDescent="0.2">
      <c r="B3" s="65"/>
      <c r="C3" s="263" t="s">
        <v>647</v>
      </c>
      <c r="D3" s="263"/>
      <c r="E3" s="263"/>
      <c r="F3" s="264"/>
      <c r="G3" s="264"/>
      <c r="H3" s="265"/>
      <c r="I3" s="265"/>
      <c r="J3" s="265"/>
      <c r="L3" s="62"/>
      <c r="EG3" s="25"/>
    </row>
    <row r="4" spans="1:137" ht="25" x14ac:dyDescent="0.2">
      <c r="A4" s="259" t="s">
        <v>606</v>
      </c>
      <c r="B4" s="259"/>
      <c r="C4" s="135"/>
      <c r="D4" s="260" t="s">
        <v>646</v>
      </c>
      <c r="E4" s="260"/>
      <c r="F4" s="260"/>
      <c r="G4" s="261"/>
      <c r="H4" s="261"/>
      <c r="I4" s="262"/>
      <c r="J4" s="262"/>
      <c r="K4" s="262"/>
      <c r="L4" s="62"/>
      <c r="EG4" s="25"/>
    </row>
    <row r="5" spans="1:137" x14ac:dyDescent="0.15">
      <c r="B5" s="63"/>
      <c r="D5" s="69"/>
      <c r="E5" s="69"/>
      <c r="F5" s="69"/>
      <c r="G5" s="69"/>
      <c r="H5" s="69"/>
      <c r="I5" s="69"/>
      <c r="J5" s="69"/>
      <c r="K5" s="69"/>
      <c r="L5" s="62"/>
      <c r="EG5" s="25"/>
    </row>
    <row r="6" spans="1:137" ht="28" x14ac:dyDescent="0.15">
      <c r="B6" s="63" t="s">
        <v>292</v>
      </c>
      <c r="D6" s="136"/>
      <c r="E6" s="136"/>
      <c r="F6" s="136"/>
      <c r="G6" s="137"/>
      <c r="H6" s="137"/>
      <c r="I6" s="69"/>
      <c r="J6" s="69"/>
      <c r="K6" s="69"/>
      <c r="L6" s="62"/>
      <c r="EG6" s="25"/>
    </row>
    <row r="7" spans="1:137" ht="15" customHeight="1" thickBot="1" x14ac:dyDescent="0.2">
      <c r="A7" s="70"/>
      <c r="B7" s="63"/>
      <c r="D7" s="60"/>
      <c r="E7" s="60"/>
      <c r="F7" s="60"/>
      <c r="G7" s="60"/>
      <c r="H7" s="60"/>
      <c r="I7" s="60"/>
      <c r="J7" s="60"/>
      <c r="K7" s="60"/>
      <c r="L7" s="62"/>
      <c r="EG7" s="25"/>
    </row>
    <row r="8" spans="1:137" ht="13.75" customHeight="1" thickBot="1" x14ac:dyDescent="0.2">
      <c r="A8" s="254"/>
      <c r="B8" s="257"/>
      <c r="C8" s="257" t="s">
        <v>293</v>
      </c>
      <c r="D8" s="250" t="s">
        <v>607</v>
      </c>
      <c r="E8" s="251"/>
      <c r="F8" s="251"/>
      <c r="G8" s="251"/>
      <c r="H8" s="251"/>
      <c r="I8" s="252"/>
      <c r="J8" s="255" t="s">
        <v>615</v>
      </c>
      <c r="K8" s="255" t="s">
        <v>616</v>
      </c>
      <c r="L8" s="91"/>
      <c r="EG8" s="25"/>
    </row>
    <row r="9" spans="1:137" s="71" customFormat="1" ht="30.75" customHeight="1" thickBot="1" x14ac:dyDescent="0.2">
      <c r="A9" s="254"/>
      <c r="B9" s="258"/>
      <c r="C9" s="258"/>
      <c r="D9" s="101"/>
      <c r="E9" s="101" t="s">
        <v>469</v>
      </c>
      <c r="F9" s="134" t="s">
        <v>468</v>
      </c>
      <c r="G9" s="134" t="s">
        <v>572</v>
      </c>
      <c r="H9" s="134" t="s">
        <v>144</v>
      </c>
      <c r="I9" s="165" t="s">
        <v>573</v>
      </c>
      <c r="J9" s="256"/>
      <c r="K9" s="256"/>
      <c r="L9" s="92" t="s">
        <v>294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</row>
    <row r="10" spans="1:137" ht="34.5" customHeight="1" thickBot="1" x14ac:dyDescent="0.25">
      <c r="A10" s="70"/>
      <c r="B10" s="72" t="s">
        <v>207</v>
      </c>
      <c r="C10" s="125"/>
      <c r="D10" s="100"/>
      <c r="E10" s="100"/>
      <c r="F10" s="100"/>
      <c r="G10" s="100"/>
      <c r="H10" s="100"/>
      <c r="I10" s="166"/>
      <c r="J10" s="100"/>
      <c r="K10" s="94">
        <v>0</v>
      </c>
      <c r="L10" s="91"/>
      <c r="EG10" s="25"/>
    </row>
    <row r="11" spans="1:137" x14ac:dyDescent="0.15">
      <c r="A11" s="70"/>
      <c r="B11" s="102"/>
      <c r="C11" s="85"/>
      <c r="D11" s="74"/>
      <c r="E11" s="74"/>
      <c r="F11" s="74"/>
      <c r="G11" s="74"/>
      <c r="H11" s="74"/>
      <c r="I11" s="167"/>
      <c r="J11" s="74"/>
      <c r="K11" s="74"/>
      <c r="L11" s="118"/>
      <c r="EG11" s="25"/>
    </row>
    <row r="12" spans="1:137" s="63" customFormat="1" x14ac:dyDescent="0.15">
      <c r="A12" s="70"/>
      <c r="B12" s="78"/>
      <c r="C12" s="109"/>
      <c r="D12" s="77"/>
      <c r="E12" s="77">
        <v>0</v>
      </c>
      <c r="F12" s="77">
        <v>0</v>
      </c>
      <c r="G12" s="77"/>
      <c r="H12" s="77"/>
      <c r="I12" s="168">
        <f t="shared" ref="I12:I27" si="0">SUM(D12:H12)</f>
        <v>0</v>
      </c>
      <c r="J12" s="77"/>
      <c r="K12" s="77"/>
      <c r="L12" s="119"/>
    </row>
    <row r="13" spans="1:137" s="180" customFormat="1" ht="13.5" customHeight="1" x14ac:dyDescent="0.15">
      <c r="A13" s="176"/>
      <c r="B13" s="149" t="s">
        <v>464</v>
      </c>
      <c r="C13" s="177"/>
      <c r="D13" s="178"/>
      <c r="E13" s="191">
        <v>1958000</v>
      </c>
      <c r="F13" s="178"/>
      <c r="G13" s="179"/>
      <c r="H13" s="193">
        <v>0</v>
      </c>
      <c r="I13" s="168">
        <f t="shared" si="0"/>
        <v>1958000</v>
      </c>
      <c r="J13" s="193">
        <v>2056000</v>
      </c>
      <c r="K13" s="193">
        <v>2197000</v>
      </c>
      <c r="L13" s="155"/>
    </row>
    <row r="14" spans="1:137" s="180" customFormat="1" x14ac:dyDescent="0.15">
      <c r="A14" s="176"/>
      <c r="B14" s="149" t="s">
        <v>623</v>
      </c>
      <c r="C14" s="177"/>
      <c r="D14" s="178"/>
      <c r="E14" s="178"/>
      <c r="F14" s="178"/>
      <c r="G14" s="179"/>
      <c r="H14" s="193">
        <v>1900000</v>
      </c>
      <c r="I14" s="168">
        <f t="shared" si="0"/>
        <v>1900000</v>
      </c>
      <c r="J14" s="193">
        <v>800000</v>
      </c>
      <c r="K14" s="193"/>
      <c r="L14" s="155" t="s">
        <v>625</v>
      </c>
    </row>
    <row r="15" spans="1:137" s="180" customFormat="1" x14ac:dyDescent="0.15">
      <c r="A15" s="176"/>
      <c r="B15" s="149" t="s">
        <v>624</v>
      </c>
      <c r="C15" s="177"/>
      <c r="D15" s="178"/>
      <c r="E15" s="178"/>
      <c r="F15" s="178"/>
      <c r="G15" s="179"/>
      <c r="H15" s="193">
        <v>400000</v>
      </c>
      <c r="I15" s="239">
        <f t="shared" si="0"/>
        <v>400000</v>
      </c>
      <c r="J15" s="193"/>
      <c r="K15" s="193"/>
      <c r="L15" s="155" t="s">
        <v>626</v>
      </c>
    </row>
    <row r="16" spans="1:137" s="180" customFormat="1" x14ac:dyDescent="0.15">
      <c r="A16" s="176"/>
      <c r="B16" s="149" t="s">
        <v>495</v>
      </c>
      <c r="C16" s="177"/>
      <c r="D16" s="178"/>
      <c r="E16" s="178"/>
      <c r="F16" s="178"/>
      <c r="G16" s="179"/>
      <c r="H16" s="193">
        <v>800000</v>
      </c>
      <c r="I16" s="168">
        <f t="shared" si="0"/>
        <v>800000</v>
      </c>
      <c r="J16" s="193">
        <v>500000</v>
      </c>
      <c r="K16" s="193"/>
      <c r="L16" s="155" t="s">
        <v>627</v>
      </c>
    </row>
    <row r="17" spans="1:137" s="180" customFormat="1" x14ac:dyDescent="0.15">
      <c r="A17" s="176"/>
      <c r="B17" s="149" t="s">
        <v>493</v>
      </c>
      <c r="C17" s="177"/>
      <c r="D17" s="178"/>
      <c r="E17" s="178"/>
      <c r="F17" s="178"/>
      <c r="G17" s="179"/>
      <c r="H17" s="193">
        <v>3000000</v>
      </c>
      <c r="I17" s="168">
        <f t="shared" si="0"/>
        <v>3000000</v>
      </c>
      <c r="J17" s="193"/>
      <c r="K17" s="193"/>
      <c r="L17" s="155" t="s">
        <v>627</v>
      </c>
    </row>
    <row r="18" spans="1:137" s="180" customFormat="1" x14ac:dyDescent="0.15">
      <c r="A18" s="176"/>
      <c r="B18" s="149" t="s">
        <v>622</v>
      </c>
      <c r="C18" s="177"/>
      <c r="D18" s="178"/>
      <c r="E18" s="178"/>
      <c r="F18" s="178"/>
      <c r="G18" s="179"/>
      <c r="H18" s="193">
        <v>2500000</v>
      </c>
      <c r="I18" s="168">
        <f t="shared" si="0"/>
        <v>2500000</v>
      </c>
      <c r="J18" s="193">
        <v>3500000</v>
      </c>
      <c r="K18" s="193"/>
      <c r="L18" s="155" t="s">
        <v>627</v>
      </c>
    </row>
    <row r="19" spans="1:137" s="180" customFormat="1" x14ac:dyDescent="0.15">
      <c r="A19" s="176"/>
      <c r="B19" s="149" t="s">
        <v>621</v>
      </c>
      <c r="C19" s="177"/>
      <c r="D19" s="178"/>
      <c r="E19" s="178"/>
      <c r="F19" s="178"/>
      <c r="G19" s="179"/>
      <c r="H19" s="193">
        <v>600000</v>
      </c>
      <c r="I19" s="168">
        <f t="shared" si="0"/>
        <v>600000</v>
      </c>
      <c r="J19" s="193"/>
      <c r="K19" s="193"/>
      <c r="L19" s="155" t="s">
        <v>628</v>
      </c>
    </row>
    <row r="20" spans="1:137" s="180" customFormat="1" x14ac:dyDescent="0.15">
      <c r="A20" s="176"/>
      <c r="B20" s="149" t="s">
        <v>619</v>
      </c>
      <c r="C20" s="177"/>
      <c r="D20" s="178"/>
      <c r="E20" s="178"/>
      <c r="F20" s="178"/>
      <c r="G20" s="179"/>
      <c r="H20" s="193">
        <v>100000</v>
      </c>
      <c r="I20" s="168">
        <f t="shared" si="0"/>
        <v>100000</v>
      </c>
      <c r="J20" s="193"/>
      <c r="K20" s="193"/>
      <c r="L20" s="155" t="s">
        <v>629</v>
      </c>
    </row>
    <row r="21" spans="1:137" s="180" customFormat="1" x14ac:dyDescent="0.15">
      <c r="A21" s="176"/>
      <c r="B21" s="149" t="s">
        <v>564</v>
      </c>
      <c r="C21" s="177"/>
      <c r="D21" s="178"/>
      <c r="E21" s="178"/>
      <c r="F21" s="178"/>
      <c r="G21" s="179"/>
      <c r="H21" s="193">
        <v>3500000</v>
      </c>
      <c r="I21" s="168">
        <f t="shared" si="0"/>
        <v>3500000</v>
      </c>
      <c r="J21" s="193">
        <v>3000000</v>
      </c>
      <c r="K21" s="193"/>
      <c r="L21" s="155" t="s">
        <v>627</v>
      </c>
    </row>
    <row r="22" spans="1:137" s="180" customFormat="1" x14ac:dyDescent="0.15">
      <c r="A22" s="176"/>
      <c r="B22" s="149" t="s">
        <v>634</v>
      </c>
      <c r="C22" s="177"/>
      <c r="D22" s="178"/>
      <c r="E22" s="178"/>
      <c r="F22" s="178"/>
      <c r="G22" s="179"/>
      <c r="H22" s="193">
        <v>2000000</v>
      </c>
      <c r="I22" s="168">
        <f t="shared" si="0"/>
        <v>2000000</v>
      </c>
      <c r="J22" s="193"/>
      <c r="K22" s="193"/>
      <c r="L22" s="155" t="s">
        <v>629</v>
      </c>
    </row>
    <row r="23" spans="1:137" s="180" customFormat="1" x14ac:dyDescent="0.15">
      <c r="A23" s="176"/>
      <c r="B23" s="149" t="s">
        <v>645</v>
      </c>
      <c r="C23" s="177"/>
      <c r="D23" s="178"/>
      <c r="E23" s="178"/>
      <c r="F23" s="178"/>
      <c r="G23" s="179"/>
      <c r="H23" s="193">
        <v>1300000</v>
      </c>
      <c r="I23" s="168">
        <f t="shared" si="0"/>
        <v>1300000</v>
      </c>
      <c r="J23" s="193"/>
      <c r="K23" s="193"/>
      <c r="L23" s="155"/>
    </row>
    <row r="24" spans="1:137" s="180" customFormat="1" x14ac:dyDescent="0.15">
      <c r="A24" s="176"/>
      <c r="B24" s="149" t="s">
        <v>633</v>
      </c>
      <c r="C24" s="177"/>
      <c r="D24" s="178"/>
      <c r="E24" s="178"/>
      <c r="F24" s="178"/>
      <c r="G24" s="179"/>
      <c r="H24" s="193">
        <v>4300000</v>
      </c>
      <c r="I24" s="168">
        <f t="shared" si="0"/>
        <v>4300000</v>
      </c>
      <c r="J24" s="193">
        <v>0</v>
      </c>
      <c r="K24" s="193"/>
      <c r="L24" s="155" t="s">
        <v>630</v>
      </c>
    </row>
    <row r="25" spans="1:137" s="180" customFormat="1" x14ac:dyDescent="0.15">
      <c r="A25" s="176"/>
      <c r="B25" s="149" t="s">
        <v>620</v>
      </c>
      <c r="C25" s="177"/>
      <c r="D25" s="178"/>
      <c r="E25" s="178"/>
      <c r="F25" s="178"/>
      <c r="G25" s="179"/>
      <c r="H25" s="193">
        <v>600000</v>
      </c>
      <c r="I25" s="168">
        <f t="shared" si="0"/>
        <v>600000</v>
      </c>
      <c r="J25" s="193"/>
      <c r="K25" s="193"/>
      <c r="L25" s="155" t="s">
        <v>630</v>
      </c>
    </row>
    <row r="26" spans="1:137" s="131" customFormat="1" x14ac:dyDescent="0.15">
      <c r="A26" s="70"/>
      <c r="B26" s="149" t="s">
        <v>490</v>
      </c>
      <c r="C26" s="127"/>
      <c r="D26" s="129"/>
      <c r="E26" s="129"/>
      <c r="F26" s="129"/>
      <c r="G26" s="128"/>
      <c r="H26" s="128">
        <v>400000</v>
      </c>
      <c r="I26" s="168">
        <f t="shared" si="0"/>
        <v>400000</v>
      </c>
      <c r="J26" s="128">
        <v>200000</v>
      </c>
      <c r="K26" s="193"/>
      <c r="L26" s="155" t="s">
        <v>628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</row>
    <row r="27" spans="1:137" ht="14" thickBot="1" x14ac:dyDescent="0.2">
      <c r="A27" s="70"/>
      <c r="B27" s="78"/>
      <c r="D27" s="76">
        <v>0</v>
      </c>
      <c r="E27" s="76">
        <v>0</v>
      </c>
      <c r="F27" s="76">
        <v>0</v>
      </c>
      <c r="G27" s="77"/>
      <c r="H27" s="77">
        <v>0</v>
      </c>
      <c r="I27" s="168">
        <f t="shared" si="0"/>
        <v>0</v>
      </c>
      <c r="J27" s="77"/>
      <c r="K27" s="77"/>
      <c r="L27" s="119"/>
    </row>
    <row r="28" spans="1:137" ht="17" thickBot="1" x14ac:dyDescent="0.25">
      <c r="A28" s="70"/>
      <c r="B28" s="110" t="s">
        <v>214</v>
      </c>
      <c r="C28" s="98"/>
      <c r="D28" s="107">
        <f t="shared" ref="D28:K28" si="1">SUM(D12:D27)</f>
        <v>0</v>
      </c>
      <c r="E28" s="107">
        <f t="shared" si="1"/>
        <v>1958000</v>
      </c>
      <c r="F28" s="107">
        <f t="shared" si="1"/>
        <v>0</v>
      </c>
      <c r="G28" s="107">
        <f t="shared" si="1"/>
        <v>0</v>
      </c>
      <c r="H28" s="107">
        <f t="shared" si="1"/>
        <v>21400000</v>
      </c>
      <c r="I28" s="169">
        <f t="shared" si="1"/>
        <v>23358000</v>
      </c>
      <c r="J28" s="107">
        <f t="shared" si="1"/>
        <v>10056000</v>
      </c>
      <c r="K28" s="107">
        <f t="shared" si="1"/>
        <v>2197000</v>
      </c>
      <c r="L28" s="120"/>
      <c r="EG28" s="25"/>
    </row>
    <row r="29" spans="1:137" ht="16" x14ac:dyDescent="0.2">
      <c r="A29" s="70"/>
      <c r="B29" s="111"/>
      <c r="C29" s="91"/>
      <c r="D29" s="82"/>
      <c r="E29" s="82"/>
      <c r="F29" s="82"/>
      <c r="G29" s="82"/>
      <c r="H29" s="82"/>
      <c r="I29" s="170"/>
      <c r="J29" s="82"/>
      <c r="K29" s="82"/>
      <c r="L29" s="120"/>
      <c r="EG29" s="25"/>
    </row>
    <row r="30" spans="1:137" ht="18" x14ac:dyDescent="0.2">
      <c r="A30" s="70"/>
      <c r="B30" s="80" t="s">
        <v>149</v>
      </c>
      <c r="D30" s="76"/>
      <c r="E30" s="76"/>
      <c r="F30" s="76"/>
      <c r="G30" s="76"/>
      <c r="H30" s="76"/>
      <c r="I30" s="168"/>
      <c r="J30" s="76"/>
      <c r="K30" s="76"/>
      <c r="L30" s="119"/>
      <c r="EG30" s="25"/>
    </row>
    <row r="31" spans="1:137" ht="14" x14ac:dyDescent="0.15">
      <c r="A31" s="70"/>
      <c r="B31" s="83"/>
      <c r="D31" s="77"/>
      <c r="E31" s="77"/>
      <c r="F31" s="77"/>
      <c r="G31" s="77"/>
      <c r="H31" s="76"/>
      <c r="I31" s="168"/>
      <c r="J31" s="77"/>
      <c r="K31" s="77"/>
      <c r="L31" s="119"/>
      <c r="EG31" s="25"/>
    </row>
    <row r="32" spans="1:137" s="180" customFormat="1" x14ac:dyDescent="0.15">
      <c r="A32" s="176"/>
      <c r="B32" s="149"/>
      <c r="C32" s="177"/>
      <c r="D32" s="191"/>
      <c r="E32" s="178"/>
      <c r="F32" s="178"/>
      <c r="G32" s="191"/>
      <c r="H32" s="191"/>
      <c r="I32" s="168"/>
      <c r="J32" s="191"/>
      <c r="K32" s="193"/>
      <c r="L32" s="155"/>
    </row>
    <row r="33" spans="1:137" s="180" customFormat="1" x14ac:dyDescent="0.15">
      <c r="A33" s="176"/>
      <c r="B33" s="149"/>
      <c r="C33" s="177"/>
      <c r="D33" s="178"/>
      <c r="E33" s="178"/>
      <c r="F33" s="178"/>
      <c r="G33" s="178"/>
      <c r="H33" s="191">
        <v>0</v>
      </c>
      <c r="I33" s="168">
        <f t="shared" ref="I33" si="2">SUM(D33:H33)</f>
        <v>0</v>
      </c>
      <c r="J33" s="191"/>
      <c r="K33" s="193"/>
      <c r="L33" s="155"/>
    </row>
    <row r="34" spans="1:137" ht="14" thickBot="1" x14ac:dyDescent="0.2">
      <c r="A34" s="70"/>
      <c r="B34" s="148"/>
      <c r="D34" s="76"/>
      <c r="E34" s="76"/>
      <c r="F34" s="76"/>
      <c r="G34" s="76"/>
      <c r="H34" s="76"/>
      <c r="I34" s="168">
        <f>SUM(D34:H34)</f>
        <v>0</v>
      </c>
      <c r="J34" s="76"/>
      <c r="K34" s="76"/>
      <c r="L34" s="119"/>
      <c r="EG34" s="25"/>
    </row>
    <row r="35" spans="1:137" ht="17" thickBot="1" x14ac:dyDescent="0.25">
      <c r="A35" s="70"/>
      <c r="B35" s="110" t="s">
        <v>7</v>
      </c>
      <c r="C35" s="98"/>
      <c r="D35" s="107">
        <f>SUM(D32:D34)</f>
        <v>0</v>
      </c>
      <c r="E35" s="107"/>
      <c r="F35" s="107"/>
      <c r="G35" s="107">
        <f>SUM(G30:G34)</f>
        <v>0</v>
      </c>
      <c r="H35" s="107">
        <f>SUM(H31:H34)</f>
        <v>0</v>
      </c>
      <c r="I35" s="169">
        <f>SUM(I31:I34)</f>
        <v>0</v>
      </c>
      <c r="J35" s="107">
        <f>SUM(J31:J34)</f>
        <v>0</v>
      </c>
      <c r="K35" s="107">
        <f>SUM(K31:K34)</f>
        <v>0</v>
      </c>
      <c r="L35" s="119"/>
      <c r="EG35" s="25"/>
    </row>
    <row r="36" spans="1:137" ht="16" x14ac:dyDescent="0.2">
      <c r="A36" s="70"/>
      <c r="B36" s="84"/>
      <c r="D36" s="76"/>
      <c r="E36" s="76"/>
      <c r="F36" s="76"/>
      <c r="G36" s="76"/>
      <c r="H36" s="76"/>
      <c r="I36" s="168"/>
      <c r="J36" s="76"/>
      <c r="K36" s="76"/>
      <c r="L36" s="119"/>
      <c r="EG36" s="25"/>
    </row>
    <row r="37" spans="1:137" ht="18" x14ac:dyDescent="0.2">
      <c r="A37" s="70"/>
      <c r="B37" s="80" t="s">
        <v>150</v>
      </c>
      <c r="D37" s="76"/>
      <c r="E37" s="76"/>
      <c r="F37" s="76"/>
      <c r="G37" s="76"/>
      <c r="H37" s="76"/>
      <c r="I37" s="168"/>
      <c r="J37" s="76"/>
      <c r="K37" s="76"/>
      <c r="L37" s="119"/>
      <c r="EG37" s="25"/>
    </row>
    <row r="38" spans="1:137" ht="15" customHeight="1" x14ac:dyDescent="0.15">
      <c r="A38" s="70"/>
      <c r="B38" s="75"/>
      <c r="D38" s="76"/>
      <c r="E38" s="76"/>
      <c r="F38" s="76"/>
      <c r="G38" s="76"/>
      <c r="H38" s="76"/>
      <c r="I38" s="168"/>
      <c r="J38" s="76"/>
      <c r="K38" s="76"/>
      <c r="L38" s="119"/>
      <c r="EG38" s="25"/>
    </row>
    <row r="39" spans="1:137" ht="15" customHeight="1" x14ac:dyDescent="0.15">
      <c r="A39" s="70"/>
      <c r="B39" s="223" t="s">
        <v>639</v>
      </c>
      <c r="C39" s="196"/>
      <c r="D39" s="194"/>
      <c r="E39" s="194"/>
      <c r="F39" s="194"/>
      <c r="G39" s="194"/>
      <c r="H39" s="194"/>
      <c r="I39" s="168">
        <f t="shared" ref="I39:I44" si="3">SUM(D39:H39)</f>
        <v>0</v>
      </c>
      <c r="J39" s="194">
        <v>1700000</v>
      </c>
      <c r="K39" s="193">
        <v>4409964</v>
      </c>
      <c r="L39" s="163"/>
      <c r="EG39" s="25"/>
    </row>
    <row r="40" spans="1:137" s="131" customFormat="1" ht="15" customHeight="1" x14ac:dyDescent="0.15">
      <c r="A40" s="70"/>
      <c r="B40" s="149" t="s">
        <v>638</v>
      </c>
      <c r="C40" s="127"/>
      <c r="D40" s="129"/>
      <c r="E40" s="129"/>
      <c r="F40" s="129"/>
      <c r="G40" s="129"/>
      <c r="H40" s="129"/>
      <c r="I40" s="168">
        <f t="shared" si="3"/>
        <v>0</v>
      </c>
      <c r="J40" s="129">
        <v>5846210</v>
      </c>
      <c r="K40" s="193">
        <v>6629695</v>
      </c>
      <c r="L40" s="163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</row>
    <row r="41" spans="1:137" s="131" customFormat="1" ht="15" customHeight="1" x14ac:dyDescent="0.15">
      <c r="A41" s="70"/>
      <c r="B41" s="149" t="s">
        <v>641</v>
      </c>
      <c r="C41" s="127"/>
      <c r="D41" s="129"/>
      <c r="E41" s="129"/>
      <c r="F41" s="129"/>
      <c r="G41" s="129"/>
      <c r="H41" s="129">
        <v>3000000</v>
      </c>
      <c r="I41" s="168">
        <f t="shared" si="3"/>
        <v>3000000</v>
      </c>
      <c r="J41" s="129">
        <v>4500000</v>
      </c>
      <c r="K41" s="193"/>
      <c r="L41" s="155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</row>
    <row r="42" spans="1:137" s="180" customFormat="1" x14ac:dyDescent="0.15">
      <c r="A42" s="176"/>
      <c r="B42" s="149" t="s">
        <v>561</v>
      </c>
      <c r="C42" s="177"/>
      <c r="D42" s="178"/>
      <c r="E42" s="178"/>
      <c r="F42" s="178"/>
      <c r="G42" s="179"/>
      <c r="H42" s="193">
        <v>1200000</v>
      </c>
      <c r="I42" s="168">
        <f t="shared" si="3"/>
        <v>1200000</v>
      </c>
      <c r="J42" s="193">
        <v>0</v>
      </c>
      <c r="K42" s="193"/>
      <c r="L42" s="155" t="s">
        <v>627</v>
      </c>
    </row>
    <row r="43" spans="1:137" s="180" customFormat="1" x14ac:dyDescent="0.15">
      <c r="A43" s="176"/>
      <c r="B43" s="149"/>
      <c r="C43" s="177"/>
      <c r="D43" s="178"/>
      <c r="E43" s="178"/>
      <c r="F43" s="178"/>
      <c r="G43" s="179"/>
      <c r="H43" s="193"/>
      <c r="I43" s="168"/>
      <c r="J43" s="193"/>
      <c r="K43" s="193"/>
      <c r="L43" s="155"/>
    </row>
    <row r="44" spans="1:137" ht="15" thickBot="1" x14ac:dyDescent="0.2">
      <c r="A44" s="70"/>
      <c r="B44" s="83"/>
      <c r="D44" s="76"/>
      <c r="E44" s="76"/>
      <c r="F44" s="76"/>
      <c r="G44" s="76"/>
      <c r="H44" s="76"/>
      <c r="I44" s="168">
        <f t="shared" si="3"/>
        <v>0</v>
      </c>
      <c r="J44" s="76">
        <v>0</v>
      </c>
      <c r="K44" s="76"/>
      <c r="L44" s="119"/>
      <c r="EG44" s="25"/>
    </row>
    <row r="45" spans="1:137" s="81" customFormat="1" ht="17" thickBot="1" x14ac:dyDescent="0.25">
      <c r="A45" s="70"/>
      <c r="B45" s="110" t="s">
        <v>8</v>
      </c>
      <c r="C45" s="98"/>
      <c r="D45" s="107">
        <f t="shared" ref="D45:K45" si="4">SUM(D39:D44)</f>
        <v>0</v>
      </c>
      <c r="E45" s="107">
        <f t="shared" si="4"/>
        <v>0</v>
      </c>
      <c r="F45" s="107">
        <f t="shared" si="4"/>
        <v>0</v>
      </c>
      <c r="G45" s="107">
        <f t="shared" si="4"/>
        <v>0</v>
      </c>
      <c r="H45" s="107">
        <f t="shared" si="4"/>
        <v>4200000</v>
      </c>
      <c r="I45" s="169">
        <f t="shared" si="4"/>
        <v>4200000</v>
      </c>
      <c r="J45" s="107">
        <f t="shared" si="4"/>
        <v>12046210</v>
      </c>
      <c r="K45" s="107">
        <f t="shared" si="4"/>
        <v>11039659</v>
      </c>
      <c r="L45" s="119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</row>
    <row r="46" spans="1:137" s="81" customFormat="1" ht="16" x14ac:dyDescent="0.2">
      <c r="A46" s="70"/>
      <c r="B46" s="84"/>
      <c r="C46" s="62"/>
      <c r="D46" s="76"/>
      <c r="E46" s="76"/>
      <c r="F46" s="76"/>
      <c r="G46" s="76"/>
      <c r="H46" s="76"/>
      <c r="I46" s="168"/>
      <c r="J46" s="76"/>
      <c r="K46" s="76"/>
      <c r="L46" s="119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</row>
    <row r="47" spans="1:137" ht="18" x14ac:dyDescent="0.2">
      <c r="A47" s="70"/>
      <c r="B47" s="80" t="s">
        <v>151</v>
      </c>
      <c r="D47" s="76"/>
      <c r="E47" s="76"/>
      <c r="F47" s="76"/>
      <c r="G47" s="76"/>
      <c r="H47" s="76"/>
      <c r="I47" s="168"/>
      <c r="J47" s="76"/>
      <c r="K47" s="76"/>
      <c r="L47" s="119"/>
      <c r="EG47" s="25"/>
    </row>
    <row r="48" spans="1:137" ht="15" customHeight="1" x14ac:dyDescent="0.15">
      <c r="A48" s="70"/>
      <c r="B48" s="75"/>
      <c r="D48" s="76"/>
      <c r="E48" s="76"/>
      <c r="F48" s="76"/>
      <c r="G48" s="76"/>
      <c r="H48" s="76"/>
      <c r="I48" s="168"/>
      <c r="J48" s="76"/>
      <c r="K48" s="76"/>
      <c r="L48" s="119"/>
      <c r="EG48" s="25"/>
    </row>
    <row r="49" spans="1:137" x14ac:dyDescent="0.15">
      <c r="A49" s="70"/>
      <c r="B49" s="223" t="s">
        <v>644</v>
      </c>
      <c r="C49" s="195"/>
      <c r="D49" s="194"/>
      <c r="E49" s="194"/>
      <c r="F49" s="194"/>
      <c r="G49" s="194"/>
      <c r="H49" s="194">
        <v>3000000</v>
      </c>
      <c r="I49" s="168">
        <f>SUM(D49:H49)</f>
        <v>3000000</v>
      </c>
      <c r="J49" s="194">
        <v>3000000</v>
      </c>
      <c r="K49" s="193">
        <v>3000000</v>
      </c>
      <c r="L49" s="163" t="s">
        <v>631</v>
      </c>
      <c r="EG49" s="25"/>
    </row>
    <row r="50" spans="1:137" x14ac:dyDescent="0.15">
      <c r="A50" s="70"/>
      <c r="B50" s="149" t="s">
        <v>642</v>
      </c>
      <c r="C50" s="195"/>
      <c r="D50" s="194"/>
      <c r="E50" s="194"/>
      <c r="F50" s="194"/>
      <c r="G50" s="194"/>
      <c r="H50" s="194">
        <v>3500000</v>
      </c>
      <c r="I50" s="168">
        <f>SUM(D50:H50)</f>
        <v>3500000</v>
      </c>
      <c r="J50" s="194">
        <v>4000000</v>
      </c>
      <c r="K50" s="193">
        <v>2500000</v>
      </c>
      <c r="L50" s="163" t="s">
        <v>631</v>
      </c>
      <c r="EG50" s="25"/>
    </row>
    <row r="51" spans="1:137" s="131" customFormat="1" x14ac:dyDescent="0.15">
      <c r="A51" s="70"/>
      <c r="B51" s="149" t="s">
        <v>632</v>
      </c>
      <c r="C51" s="132"/>
      <c r="D51" s="129"/>
      <c r="E51" s="129"/>
      <c r="F51" s="129"/>
      <c r="G51" s="129"/>
      <c r="H51" s="129"/>
      <c r="I51" s="168">
        <f>SUM(D51:H51)</f>
        <v>0</v>
      </c>
      <c r="J51" s="129">
        <v>2000000</v>
      </c>
      <c r="K51" s="129">
        <v>4500000</v>
      </c>
      <c r="L51" s="163" t="s">
        <v>631</v>
      </c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</row>
    <row r="52" spans="1:137" ht="15" thickBot="1" x14ac:dyDescent="0.2">
      <c r="A52" s="70"/>
      <c r="B52" s="83"/>
      <c r="C52" s="73"/>
      <c r="D52" s="76"/>
      <c r="E52" s="76"/>
      <c r="F52" s="76"/>
      <c r="G52" s="76"/>
      <c r="H52" s="76"/>
      <c r="I52" s="168">
        <f>SUM(D52:H52)</f>
        <v>0</v>
      </c>
      <c r="J52" s="249" t="s">
        <v>640</v>
      </c>
      <c r="K52" s="76"/>
      <c r="L52" s="119"/>
      <c r="EG52" s="25"/>
    </row>
    <row r="53" spans="1:137" ht="17" thickBot="1" x14ac:dyDescent="0.25">
      <c r="A53" s="70"/>
      <c r="B53" s="112" t="s">
        <v>9</v>
      </c>
      <c r="C53" s="103"/>
      <c r="D53" s="107">
        <f t="shared" ref="D53:K53" si="5">SUM(D49:D52)</f>
        <v>0</v>
      </c>
      <c r="E53" s="107">
        <f t="shared" si="5"/>
        <v>0</v>
      </c>
      <c r="F53" s="107">
        <f t="shared" si="5"/>
        <v>0</v>
      </c>
      <c r="G53" s="107">
        <f t="shared" si="5"/>
        <v>0</v>
      </c>
      <c r="H53" s="107">
        <f t="shared" si="5"/>
        <v>6500000</v>
      </c>
      <c r="I53" s="169">
        <f t="shared" si="5"/>
        <v>6500000</v>
      </c>
      <c r="J53" s="107">
        <f t="shared" si="5"/>
        <v>9000000</v>
      </c>
      <c r="K53" s="107">
        <f t="shared" si="5"/>
        <v>10000000</v>
      </c>
      <c r="L53" s="119"/>
      <c r="EG53" s="25"/>
    </row>
    <row r="54" spans="1:137" ht="16" x14ac:dyDescent="0.2">
      <c r="A54" s="70"/>
      <c r="B54" s="95"/>
      <c r="C54" s="73"/>
      <c r="D54" s="76"/>
      <c r="E54" s="76"/>
      <c r="F54" s="76"/>
      <c r="G54" s="76"/>
      <c r="H54" s="76"/>
      <c r="I54" s="168"/>
      <c r="J54" s="76"/>
      <c r="K54" s="76"/>
      <c r="L54" s="119"/>
      <c r="EG54" s="25"/>
    </row>
    <row r="55" spans="1:137" ht="18" x14ac:dyDescent="0.2">
      <c r="A55" s="70"/>
      <c r="B55" s="96" t="s">
        <v>152</v>
      </c>
      <c r="C55" s="73"/>
      <c r="D55" s="76"/>
      <c r="E55" s="76"/>
      <c r="F55" s="76"/>
      <c r="G55" s="76"/>
      <c r="H55" s="76"/>
      <c r="I55" s="168"/>
      <c r="J55" s="76"/>
      <c r="K55" s="76"/>
      <c r="L55" s="119"/>
      <c r="EG55" s="25"/>
    </row>
    <row r="56" spans="1:137" ht="13.75" customHeight="1" x14ac:dyDescent="0.2">
      <c r="A56" s="70"/>
      <c r="B56" s="97"/>
      <c r="C56" s="109"/>
      <c r="D56" s="76"/>
      <c r="E56" s="76"/>
      <c r="F56" s="76"/>
      <c r="G56" s="76"/>
      <c r="H56" s="76"/>
      <c r="I56" s="168"/>
      <c r="J56" s="76"/>
      <c r="K56" s="76"/>
      <c r="L56" s="119"/>
      <c r="EG56" s="25"/>
    </row>
    <row r="57" spans="1:137" s="131" customFormat="1" x14ac:dyDescent="0.15">
      <c r="A57" s="70"/>
      <c r="B57" s="149" t="s">
        <v>637</v>
      </c>
      <c r="C57" s="133"/>
      <c r="D57" s="129"/>
      <c r="E57" s="129"/>
      <c r="F57" s="129"/>
      <c r="G57" s="129"/>
      <c r="H57" s="129"/>
      <c r="I57" s="168">
        <f>SUM(D57:H57)</f>
        <v>0</v>
      </c>
      <c r="J57" s="191"/>
      <c r="K57" s="193">
        <v>1500000</v>
      </c>
      <c r="L57" s="163" t="s">
        <v>631</v>
      </c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</row>
    <row r="58" spans="1:137" s="131" customFormat="1" x14ac:dyDescent="0.15">
      <c r="A58" s="70"/>
      <c r="B58" s="149"/>
      <c r="C58" s="133"/>
      <c r="D58" s="129"/>
      <c r="E58" s="129"/>
      <c r="F58" s="129"/>
      <c r="G58" s="129"/>
      <c r="H58" s="191"/>
      <c r="I58" s="168">
        <f>SUM(D58:H58)</f>
        <v>0</v>
      </c>
      <c r="J58" s="191"/>
      <c r="K58" s="193"/>
      <c r="L58" s="155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</row>
    <row r="59" spans="1:137" ht="15" thickBot="1" x14ac:dyDescent="0.2">
      <c r="A59" s="70"/>
      <c r="B59" s="86"/>
      <c r="C59" s="109"/>
      <c r="D59" s="76"/>
      <c r="E59" s="76"/>
      <c r="F59" s="76"/>
      <c r="G59" s="76"/>
      <c r="H59" s="76"/>
      <c r="I59" s="168">
        <f>SUM(D59:H59)</f>
        <v>0</v>
      </c>
      <c r="J59" s="76"/>
      <c r="K59" s="76"/>
      <c r="L59" s="119"/>
      <c r="EG59" s="25"/>
    </row>
    <row r="60" spans="1:137" ht="17" thickBot="1" x14ac:dyDescent="0.25">
      <c r="A60" s="70"/>
      <c r="B60" s="112" t="s">
        <v>10</v>
      </c>
      <c r="C60" s="113"/>
      <c r="D60" s="107">
        <f t="shared" ref="D60:K60" si="6">SUM(D57:D59)</f>
        <v>0</v>
      </c>
      <c r="E60" s="107">
        <f t="shared" si="6"/>
        <v>0</v>
      </c>
      <c r="F60" s="107">
        <f t="shared" si="6"/>
        <v>0</v>
      </c>
      <c r="G60" s="107">
        <f t="shared" si="6"/>
        <v>0</v>
      </c>
      <c r="H60" s="107">
        <f t="shared" si="6"/>
        <v>0</v>
      </c>
      <c r="I60" s="169">
        <f t="shared" si="6"/>
        <v>0</v>
      </c>
      <c r="J60" s="107">
        <f t="shared" si="6"/>
        <v>0</v>
      </c>
      <c r="K60" s="107">
        <f t="shared" si="6"/>
        <v>1500000</v>
      </c>
      <c r="L60" s="121"/>
      <c r="EG60" s="25"/>
    </row>
    <row r="61" spans="1:137" ht="16" x14ac:dyDescent="0.2">
      <c r="A61" s="70"/>
      <c r="B61" s="95"/>
      <c r="C61" s="109"/>
      <c r="D61" s="82"/>
      <c r="E61" s="82"/>
      <c r="F61" s="82"/>
      <c r="G61" s="82"/>
      <c r="H61" s="82"/>
      <c r="I61" s="170"/>
      <c r="J61" s="82"/>
      <c r="K61" s="82"/>
      <c r="L61" s="121"/>
      <c r="EG61" s="25"/>
    </row>
    <row r="62" spans="1:137" ht="18" x14ac:dyDescent="0.2">
      <c r="A62" s="70"/>
      <c r="B62" s="96" t="s">
        <v>11</v>
      </c>
      <c r="C62" s="109"/>
      <c r="D62" s="76"/>
      <c r="E62" s="76"/>
      <c r="F62" s="76"/>
      <c r="G62" s="76"/>
      <c r="H62" s="76"/>
      <c r="I62" s="168"/>
      <c r="J62" s="76"/>
      <c r="K62" s="76"/>
      <c r="L62" s="119"/>
      <c r="EG62" s="25"/>
    </row>
    <row r="63" spans="1:137" ht="18" x14ac:dyDescent="0.2">
      <c r="A63" s="70"/>
      <c r="B63" s="96"/>
      <c r="C63" s="109"/>
      <c r="D63" s="76"/>
      <c r="E63" s="76"/>
      <c r="F63" s="76"/>
      <c r="G63" s="76"/>
      <c r="H63" s="76"/>
      <c r="I63" s="168"/>
      <c r="J63" s="76"/>
      <c r="K63" s="76"/>
      <c r="L63" s="119"/>
      <c r="EG63" s="25"/>
    </row>
    <row r="64" spans="1:137" s="180" customFormat="1" x14ac:dyDescent="0.15">
      <c r="A64" s="176"/>
      <c r="B64" s="223" t="s">
        <v>643</v>
      </c>
      <c r="C64" s="181"/>
      <c r="D64" s="178"/>
      <c r="E64" s="178"/>
      <c r="F64" s="178"/>
      <c r="G64" s="178"/>
      <c r="H64" s="191">
        <v>3000000</v>
      </c>
      <c r="I64" s="239">
        <f t="shared" ref="I64:I65" si="7">SUM(D64:H64)</f>
        <v>3000000</v>
      </c>
      <c r="J64" s="191"/>
      <c r="K64" s="193"/>
      <c r="L64" s="163"/>
    </row>
    <row r="65" spans="1:137" s="180" customFormat="1" x14ac:dyDescent="0.15">
      <c r="A65" s="176"/>
      <c r="B65" s="149"/>
      <c r="C65" s="181"/>
      <c r="D65" s="178"/>
      <c r="E65" s="178"/>
      <c r="F65" s="178"/>
      <c r="G65" s="178"/>
      <c r="H65" s="191"/>
      <c r="I65" s="168">
        <f t="shared" si="7"/>
        <v>0</v>
      </c>
      <c r="J65" s="191"/>
      <c r="K65" s="193"/>
      <c r="L65" s="163" t="s">
        <v>631</v>
      </c>
    </row>
    <row r="66" spans="1:137" s="238" customFormat="1" ht="14" thickBot="1" x14ac:dyDescent="0.2">
      <c r="A66" s="231"/>
      <c r="B66" s="232"/>
      <c r="C66" s="233"/>
      <c r="D66" s="234"/>
      <c r="E66" s="234"/>
      <c r="F66" s="234"/>
      <c r="G66" s="234"/>
      <c r="H66" s="234"/>
      <c r="I66" s="239"/>
      <c r="J66" s="234"/>
      <c r="K66" s="235"/>
      <c r="L66" s="236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DI66" s="237"/>
      <c r="DJ66" s="237"/>
      <c r="DK66" s="237"/>
      <c r="DL66" s="237"/>
      <c r="DM66" s="237"/>
      <c r="DN66" s="237"/>
      <c r="DO66" s="237"/>
      <c r="DP66" s="237"/>
      <c r="DQ66" s="237"/>
      <c r="DR66" s="237"/>
      <c r="DS66" s="237"/>
      <c r="DT66" s="237"/>
      <c r="DU66" s="237"/>
      <c r="DV66" s="237"/>
      <c r="DW66" s="237"/>
      <c r="DX66" s="237"/>
      <c r="DY66" s="237"/>
      <c r="DZ66" s="237"/>
      <c r="EA66" s="237"/>
      <c r="EB66" s="237"/>
      <c r="EC66" s="237"/>
      <c r="ED66" s="237"/>
      <c r="EE66" s="237"/>
      <c r="EF66" s="237"/>
    </row>
    <row r="67" spans="1:137" ht="17" thickBot="1" x14ac:dyDescent="0.25">
      <c r="A67" s="70"/>
      <c r="B67" s="112" t="s">
        <v>12</v>
      </c>
      <c r="C67" s="113"/>
      <c r="D67" s="107">
        <f t="shared" ref="D67:K67" si="8">SUM(D64:D66)</f>
        <v>0</v>
      </c>
      <c r="E67" s="107">
        <f t="shared" si="8"/>
        <v>0</v>
      </c>
      <c r="F67" s="107"/>
      <c r="G67" s="107">
        <f t="shared" si="8"/>
        <v>0</v>
      </c>
      <c r="H67" s="107">
        <f t="shared" si="8"/>
        <v>3000000</v>
      </c>
      <c r="I67" s="169">
        <f t="shared" si="8"/>
        <v>3000000</v>
      </c>
      <c r="J67" s="107">
        <f t="shared" si="8"/>
        <v>0</v>
      </c>
      <c r="K67" s="107">
        <f t="shared" si="8"/>
        <v>0</v>
      </c>
      <c r="L67" s="119"/>
      <c r="EG67" s="25"/>
    </row>
    <row r="68" spans="1:137" ht="16" x14ac:dyDescent="0.2">
      <c r="A68" s="70"/>
      <c r="B68" s="95"/>
      <c r="C68" s="109"/>
      <c r="D68" s="76"/>
      <c r="E68" s="76"/>
      <c r="F68" s="76"/>
      <c r="G68" s="76"/>
      <c r="H68" s="76"/>
      <c r="I68" s="168"/>
      <c r="J68" s="76"/>
      <c r="K68" s="76"/>
      <c r="L68" s="119"/>
      <c r="EG68" s="25"/>
    </row>
    <row r="69" spans="1:137" ht="15" thickBot="1" x14ac:dyDescent="0.2">
      <c r="A69" s="70"/>
      <c r="B69" s="89"/>
      <c r="C69" s="73"/>
      <c r="D69" s="76"/>
      <c r="E69" s="76"/>
      <c r="F69" s="76"/>
      <c r="G69" s="76"/>
      <c r="H69" s="225"/>
      <c r="I69" s="168">
        <f t="shared" ref="I69" si="9">SUM(D69:H69)</f>
        <v>0</v>
      </c>
      <c r="J69" s="217"/>
      <c r="K69" s="217"/>
      <c r="L69" s="119"/>
      <c r="EG69" s="25"/>
    </row>
    <row r="70" spans="1:137" ht="15.75" customHeight="1" thickBot="1" x14ac:dyDescent="0.25">
      <c r="A70" s="70"/>
      <c r="B70" s="112"/>
      <c r="C70" s="103"/>
      <c r="D70" s="107">
        <f t="shared" ref="D70:K70" si="10">SUM(D69:D69)</f>
        <v>0</v>
      </c>
      <c r="E70" s="107">
        <f t="shared" si="10"/>
        <v>0</v>
      </c>
      <c r="F70" s="107">
        <f t="shared" si="10"/>
        <v>0</v>
      </c>
      <c r="G70" s="107">
        <f t="shared" si="10"/>
        <v>0</v>
      </c>
      <c r="H70" s="107">
        <f t="shared" si="10"/>
        <v>0</v>
      </c>
      <c r="I70" s="169">
        <f t="shared" si="10"/>
        <v>0</v>
      </c>
      <c r="J70" s="107">
        <f t="shared" si="10"/>
        <v>0</v>
      </c>
      <c r="K70" s="107">
        <f t="shared" si="10"/>
        <v>0</v>
      </c>
      <c r="L70" s="119"/>
      <c r="EG70" s="25"/>
    </row>
    <row r="71" spans="1:137" ht="21" thickBot="1" x14ac:dyDescent="0.2">
      <c r="A71" s="70"/>
      <c r="B71" s="114" t="s">
        <v>214</v>
      </c>
      <c r="C71" s="116"/>
      <c r="D71" s="115">
        <f>D70+D67+D60+D53+D45+D35+D28</f>
        <v>0</v>
      </c>
      <c r="E71" s="115">
        <f>E70+E67+E60+E53+E45+E35+E28</f>
        <v>1958000</v>
      </c>
      <c r="F71" s="115">
        <f>F70+F67+F60+F53+F45+F35+F28</f>
        <v>0</v>
      </c>
      <c r="G71" s="115">
        <f>G70+G67+G60+G53+G45+G35+G28</f>
        <v>0</v>
      </c>
      <c r="H71" s="115">
        <f>H70+H67+H60+H53+H45+H35+H28</f>
        <v>35100000</v>
      </c>
      <c r="I71" s="171">
        <f>I28+I35+I45+I53+I60+I67</f>
        <v>37058000</v>
      </c>
      <c r="J71" s="115">
        <f>J70+J67+J60+J53+J45+J35+J28</f>
        <v>31102210</v>
      </c>
      <c r="K71" s="115">
        <f>K70+K67+K60+K53+K45+K35+K28</f>
        <v>24736659</v>
      </c>
      <c r="L71" s="122"/>
      <c r="EG71" s="25"/>
    </row>
    <row r="72" spans="1:137" x14ac:dyDescent="0.15">
      <c r="A72" s="70"/>
      <c r="B72" s="99"/>
      <c r="C72" s="93"/>
      <c r="D72" s="94"/>
      <c r="E72" s="69"/>
      <c r="F72" s="69"/>
      <c r="G72" s="69"/>
      <c r="H72" s="69"/>
      <c r="I72" s="94"/>
      <c r="J72" s="69"/>
      <c r="K72" s="94"/>
      <c r="L72" s="123"/>
    </row>
    <row r="73" spans="1:137" x14ac:dyDescent="0.15">
      <c r="A73" s="70"/>
      <c r="B73" s="139" t="s">
        <v>1</v>
      </c>
      <c r="D73" s="69"/>
      <c r="E73" s="69"/>
      <c r="F73" s="69"/>
      <c r="G73" s="69"/>
      <c r="H73" s="69">
        <f>'OPERATING BUDGET'!C228+'CAP BUD'!H71+'CAP BUD'!G71</f>
        <v>8637486.8727750182</v>
      </c>
      <c r="I73" s="69">
        <f>'OPERATING BUDGET'!C228+I71</f>
        <v>10595486.872775018</v>
      </c>
      <c r="J73" s="69">
        <f>'OPERATING BUDGET'!D228+J71</f>
        <v>10000000</v>
      </c>
      <c r="K73" s="69">
        <f>'OPERATING BUDGET'!E228+K71</f>
        <v>10000000</v>
      </c>
      <c r="L73" s="124"/>
    </row>
    <row r="74" spans="1:137" x14ac:dyDescent="0.15">
      <c r="A74" s="70"/>
      <c r="B74" s="58"/>
      <c r="D74" s="69"/>
      <c r="E74" s="69"/>
      <c r="F74" s="69"/>
      <c r="G74" s="69">
        <f>I73-10595487</f>
        <v>-0.12722498178482056</v>
      </c>
      <c r="H74" s="69"/>
      <c r="I74" s="69">
        <f>10595487-I73</f>
        <v>0.12722498178482056</v>
      </c>
      <c r="J74" s="69">
        <f>J73-10000000</f>
        <v>0</v>
      </c>
      <c r="K74" s="69">
        <f>K73-10000000</f>
        <v>0</v>
      </c>
      <c r="L74" s="124"/>
    </row>
    <row r="75" spans="1:137" ht="18" x14ac:dyDescent="0.2">
      <c r="A75" s="70"/>
      <c r="B75" s="117"/>
      <c r="D75" s="69"/>
      <c r="E75" s="69"/>
      <c r="F75" s="69"/>
      <c r="G75" s="69"/>
      <c r="H75" s="69"/>
      <c r="I75" s="69"/>
      <c r="J75" s="69"/>
      <c r="K75" s="69"/>
      <c r="L75" s="124"/>
    </row>
    <row r="76" spans="1:137" x14ac:dyDescent="0.15">
      <c r="A76" s="70"/>
      <c r="B76" s="63"/>
      <c r="D76" s="69">
        <f t="shared" ref="D76:K76" si="11">SUM(D11:D70)/2</f>
        <v>0</v>
      </c>
      <c r="E76" s="69">
        <f t="shared" si="11"/>
        <v>1958000</v>
      </c>
      <c r="F76" s="69">
        <f t="shared" si="11"/>
        <v>0</v>
      </c>
      <c r="G76" s="69">
        <f t="shared" si="11"/>
        <v>0</v>
      </c>
      <c r="H76" s="69">
        <f t="shared" si="11"/>
        <v>35100000</v>
      </c>
      <c r="I76" s="69">
        <f t="shared" si="11"/>
        <v>37058000</v>
      </c>
      <c r="J76" s="69">
        <f t="shared" si="11"/>
        <v>31102210</v>
      </c>
      <c r="K76" s="69">
        <f t="shared" si="11"/>
        <v>24736659</v>
      </c>
      <c r="L76" s="124"/>
    </row>
    <row r="77" spans="1:137" x14ac:dyDescent="0.15">
      <c r="A77" s="70"/>
      <c r="B77" s="63"/>
      <c r="D77" s="108">
        <f t="shared" ref="D77:K77" si="12">D71-D76</f>
        <v>0</v>
      </c>
      <c r="E77" s="108">
        <f t="shared" si="12"/>
        <v>0</v>
      </c>
      <c r="F77" s="108">
        <f t="shared" si="12"/>
        <v>0</v>
      </c>
      <c r="G77" s="108">
        <f t="shared" si="12"/>
        <v>0</v>
      </c>
      <c r="H77" s="108">
        <f t="shared" si="12"/>
        <v>0</v>
      </c>
      <c r="I77" s="108">
        <f t="shared" si="12"/>
        <v>0</v>
      </c>
      <c r="J77" s="108">
        <f t="shared" si="12"/>
        <v>0</v>
      </c>
      <c r="K77" s="108">
        <f t="shared" si="12"/>
        <v>0</v>
      </c>
      <c r="L77" s="124"/>
    </row>
    <row r="78" spans="1:137" x14ac:dyDescent="0.15">
      <c r="A78" s="70"/>
      <c r="B78" s="63"/>
      <c r="D78" s="69"/>
      <c r="E78" s="69"/>
      <c r="F78" s="69"/>
      <c r="G78" s="69"/>
      <c r="H78" s="69"/>
      <c r="I78" s="108"/>
      <c r="J78" s="69"/>
      <c r="K78" s="69"/>
      <c r="L78" s="124"/>
    </row>
    <row r="79" spans="1:137" x14ac:dyDescent="0.15">
      <c r="A79" s="70"/>
      <c r="B79" s="63"/>
      <c r="D79" s="69"/>
      <c r="E79" s="69"/>
      <c r="F79" s="69"/>
      <c r="G79" s="69"/>
      <c r="H79" s="69"/>
      <c r="I79" s="108"/>
      <c r="J79" s="69"/>
      <c r="K79" s="69"/>
      <c r="L79" s="124"/>
    </row>
    <row r="80" spans="1:137" x14ac:dyDescent="0.15">
      <c r="A80" s="70"/>
      <c r="B80" s="63"/>
      <c r="C80" s="228">
        <f>'OPERATING BUDGET'!C228</f>
        <v>-26462513.127224982</v>
      </c>
      <c r="D80" s="69"/>
      <c r="E80" s="69"/>
      <c r="F80" s="69"/>
      <c r="G80" s="69"/>
      <c r="H80" s="69"/>
      <c r="I80" s="108"/>
      <c r="J80" s="69"/>
      <c r="K80" s="69"/>
      <c r="L80" s="124"/>
    </row>
    <row r="81" spans="1:12" x14ac:dyDescent="0.15">
      <c r="A81" s="70"/>
      <c r="B81" s="63"/>
      <c r="D81" s="69"/>
      <c r="E81" s="69"/>
      <c r="F81" s="69"/>
      <c r="G81" s="69"/>
      <c r="H81" s="69"/>
      <c r="I81" s="108"/>
      <c r="J81" s="69"/>
      <c r="K81" s="69"/>
      <c r="L81" s="124"/>
    </row>
    <row r="82" spans="1:12" x14ac:dyDescent="0.15">
      <c r="A82" s="70"/>
      <c r="B82" s="63"/>
      <c r="D82" s="69"/>
      <c r="E82" s="69"/>
      <c r="F82" s="69"/>
      <c r="G82" s="69"/>
      <c r="H82" s="69"/>
      <c r="I82" s="108"/>
      <c r="J82" s="69"/>
      <c r="K82" s="69"/>
      <c r="L82" s="124"/>
    </row>
    <row r="83" spans="1:12" x14ac:dyDescent="0.15">
      <c r="A83" s="70"/>
      <c r="B83" s="63"/>
      <c r="D83" s="69"/>
      <c r="E83" s="69"/>
      <c r="F83" s="69"/>
      <c r="G83" s="69"/>
      <c r="H83" s="69"/>
      <c r="I83" s="108"/>
      <c r="J83" s="69"/>
      <c r="K83" s="69"/>
      <c r="L83" s="124"/>
    </row>
    <row r="84" spans="1:12" x14ac:dyDescent="0.15">
      <c r="A84" s="70"/>
      <c r="B84" s="58"/>
      <c r="D84" s="69"/>
      <c r="E84" s="69"/>
      <c r="F84" s="69"/>
      <c r="G84" s="69"/>
      <c r="H84" s="69"/>
      <c r="I84" s="108"/>
      <c r="J84" s="69"/>
      <c r="K84" s="69"/>
      <c r="L84" s="124"/>
    </row>
    <row r="85" spans="1:12" x14ac:dyDescent="0.15">
      <c r="A85" s="70"/>
      <c r="B85" s="58"/>
      <c r="D85" s="69"/>
      <c r="E85" s="69"/>
      <c r="F85" s="69"/>
      <c r="G85" s="69"/>
      <c r="H85" s="69"/>
      <c r="I85" s="108"/>
      <c r="J85" s="69"/>
      <c r="K85" s="69"/>
      <c r="L85" s="124"/>
    </row>
    <row r="86" spans="1:12" x14ac:dyDescent="0.15">
      <c r="A86" s="70"/>
      <c r="B86" s="58"/>
      <c r="D86" s="69"/>
      <c r="E86" s="69"/>
      <c r="F86" s="69"/>
      <c r="G86" s="69"/>
      <c r="H86" s="69"/>
      <c r="I86" s="108"/>
      <c r="J86" s="69"/>
      <c r="K86" s="69"/>
      <c r="L86" s="124"/>
    </row>
    <row r="87" spans="1:12" ht="18" x14ac:dyDescent="0.2">
      <c r="A87" s="70"/>
      <c r="B87" s="117"/>
      <c r="D87" s="69"/>
      <c r="E87" s="69"/>
      <c r="F87" s="69"/>
      <c r="G87" s="69"/>
      <c r="H87" s="69"/>
      <c r="I87" s="108"/>
      <c r="J87" s="69"/>
      <c r="K87" s="69"/>
      <c r="L87" s="62"/>
    </row>
    <row r="88" spans="1:12" x14ac:dyDescent="0.15">
      <c r="A88" s="70"/>
      <c r="B88" s="63"/>
      <c r="D88" s="69"/>
      <c r="E88" s="69"/>
      <c r="F88" s="69"/>
      <c r="G88" s="69"/>
      <c r="H88" s="69"/>
      <c r="I88" s="108"/>
      <c r="J88" s="69"/>
      <c r="K88" s="69"/>
      <c r="L88" s="62"/>
    </row>
    <row r="89" spans="1:12" x14ac:dyDescent="0.15">
      <c r="A89" s="70"/>
      <c r="B89" s="63"/>
      <c r="D89" s="69"/>
      <c r="E89" s="69"/>
      <c r="F89" s="69"/>
      <c r="G89" s="69"/>
      <c r="H89" s="69"/>
      <c r="I89" s="108"/>
      <c r="J89" s="69"/>
      <c r="K89" s="69"/>
      <c r="L89" s="62"/>
    </row>
    <row r="90" spans="1:12" x14ac:dyDescent="0.15">
      <c r="A90" s="70"/>
      <c r="B90" s="63"/>
      <c r="D90" s="69"/>
      <c r="E90" s="69"/>
      <c r="F90" s="69"/>
      <c r="G90" s="69"/>
      <c r="H90" s="69"/>
      <c r="I90" s="108"/>
      <c r="J90" s="69"/>
      <c r="K90" s="69"/>
      <c r="L90" s="62"/>
    </row>
    <row r="91" spans="1:12" x14ac:dyDescent="0.15">
      <c r="A91" s="70"/>
      <c r="B91" s="63"/>
      <c r="D91" s="69"/>
      <c r="E91" s="69"/>
      <c r="F91" s="69"/>
      <c r="G91" s="69"/>
      <c r="H91" s="69"/>
      <c r="I91" s="108"/>
      <c r="J91" s="69"/>
      <c r="K91" s="69"/>
      <c r="L91" s="62"/>
    </row>
    <row r="92" spans="1:12" x14ac:dyDescent="0.15">
      <c r="A92" s="70"/>
      <c r="B92" s="63"/>
      <c r="D92" s="69"/>
      <c r="E92" s="69"/>
      <c r="F92" s="69"/>
      <c r="G92" s="69"/>
      <c r="H92" s="69"/>
      <c r="I92" s="108"/>
      <c r="J92" s="69"/>
      <c r="K92" s="69"/>
      <c r="L92" s="62"/>
    </row>
    <row r="93" spans="1:12" x14ac:dyDescent="0.15">
      <c r="A93" s="70"/>
      <c r="B93" s="63"/>
      <c r="D93" s="69"/>
      <c r="E93" s="69"/>
      <c r="F93" s="69"/>
      <c r="G93" s="69"/>
      <c r="H93" s="69"/>
      <c r="I93" s="108"/>
      <c r="J93" s="69"/>
      <c r="K93" s="69"/>
      <c r="L93" s="62"/>
    </row>
    <row r="94" spans="1:12" x14ac:dyDescent="0.15">
      <c r="A94" s="70"/>
      <c r="B94" s="63"/>
      <c r="D94" s="69"/>
      <c r="E94" s="69"/>
      <c r="F94" s="69"/>
      <c r="G94" s="69"/>
      <c r="H94" s="69"/>
      <c r="I94" s="108"/>
      <c r="J94" s="69"/>
      <c r="K94" s="69"/>
      <c r="L94" s="62"/>
    </row>
    <row r="95" spans="1:12" x14ac:dyDescent="0.15">
      <c r="A95" s="70"/>
      <c r="B95" s="63"/>
      <c r="D95" s="69"/>
      <c r="E95" s="69"/>
      <c r="F95" s="69"/>
      <c r="G95" s="69"/>
      <c r="H95" s="69"/>
      <c r="I95" s="108"/>
      <c r="J95" s="69"/>
      <c r="K95" s="69"/>
      <c r="L95" s="62"/>
    </row>
    <row r="96" spans="1:12" x14ac:dyDescent="0.15">
      <c r="A96" s="70"/>
      <c r="B96" s="63"/>
      <c r="D96" s="69"/>
      <c r="E96" s="69"/>
      <c r="F96" s="69"/>
      <c r="G96" s="69"/>
      <c r="H96" s="69"/>
      <c r="I96" s="108"/>
      <c r="J96" s="69"/>
      <c r="K96" s="69"/>
      <c r="L96" s="62"/>
    </row>
    <row r="97" spans="1:12" x14ac:dyDescent="0.15">
      <c r="A97" s="70"/>
      <c r="B97" s="63"/>
      <c r="D97" s="69"/>
      <c r="E97" s="69"/>
      <c r="F97" s="69"/>
      <c r="G97" s="69"/>
      <c r="H97" s="69"/>
      <c r="I97" s="108"/>
      <c r="J97" s="69"/>
      <c r="K97" s="69"/>
      <c r="L97" s="62"/>
    </row>
    <row r="98" spans="1:12" x14ac:dyDescent="0.15">
      <c r="A98" s="70"/>
      <c r="B98" s="63"/>
      <c r="D98" s="69"/>
      <c r="E98" s="69"/>
      <c r="F98" s="69"/>
      <c r="G98" s="69"/>
      <c r="H98" s="69"/>
      <c r="I98" s="108"/>
      <c r="J98" s="69"/>
      <c r="K98" s="69"/>
      <c r="L98" s="62"/>
    </row>
    <row r="99" spans="1:12" x14ac:dyDescent="0.15">
      <c r="A99" s="70"/>
      <c r="B99" s="63"/>
      <c r="D99" s="69"/>
      <c r="E99" s="69"/>
      <c r="F99" s="69"/>
      <c r="G99" s="69"/>
      <c r="H99" s="69"/>
      <c r="I99" s="108"/>
      <c r="J99" s="69"/>
      <c r="K99" s="69"/>
      <c r="L99" s="62"/>
    </row>
    <row r="100" spans="1:12" x14ac:dyDescent="0.15">
      <c r="A100" s="70"/>
      <c r="B100" s="63"/>
      <c r="D100" s="69"/>
      <c r="E100" s="69"/>
      <c r="F100" s="69"/>
      <c r="G100" s="69"/>
      <c r="H100" s="69"/>
      <c r="I100" s="108"/>
      <c r="J100" s="69"/>
      <c r="K100" s="69"/>
      <c r="L100" s="62"/>
    </row>
    <row r="101" spans="1:12" x14ac:dyDescent="0.15">
      <c r="A101" s="70"/>
      <c r="B101" s="63"/>
      <c r="D101" s="69"/>
      <c r="E101" s="69"/>
      <c r="F101" s="69"/>
      <c r="G101" s="69"/>
      <c r="H101" s="69"/>
      <c r="I101" s="108"/>
      <c r="J101" s="69"/>
      <c r="K101" s="69"/>
      <c r="L101" s="62"/>
    </row>
    <row r="102" spans="1:12" x14ac:dyDescent="0.15">
      <c r="A102" s="70"/>
      <c r="B102" s="58"/>
      <c r="D102" s="69"/>
      <c r="E102" s="69"/>
      <c r="F102" s="69"/>
      <c r="G102" s="69"/>
      <c r="H102" s="69"/>
      <c r="I102" s="108"/>
      <c r="J102" s="69"/>
      <c r="K102" s="69"/>
      <c r="L102" s="62"/>
    </row>
    <row r="103" spans="1:12" x14ac:dyDescent="0.15">
      <c r="A103" s="70"/>
      <c r="B103" s="58"/>
      <c r="D103" s="69"/>
      <c r="E103" s="69"/>
      <c r="F103" s="69"/>
      <c r="G103" s="69"/>
      <c r="H103" s="69"/>
      <c r="I103" s="108"/>
      <c r="J103" s="69"/>
      <c r="K103" s="69"/>
      <c r="L103" s="62"/>
    </row>
    <row r="104" spans="1:12" x14ac:dyDescent="0.15">
      <c r="A104" s="70"/>
      <c r="B104" s="58"/>
      <c r="D104" s="69"/>
      <c r="E104" s="69"/>
      <c r="F104" s="69"/>
      <c r="G104" s="69"/>
      <c r="H104" s="69"/>
      <c r="I104" s="108"/>
      <c r="J104" s="69"/>
      <c r="K104" s="69"/>
      <c r="L104" s="62"/>
    </row>
    <row r="105" spans="1:12" ht="18" x14ac:dyDescent="0.2">
      <c r="A105" s="70"/>
      <c r="B105" s="117"/>
      <c r="D105" s="69"/>
      <c r="E105" s="69"/>
      <c r="F105" s="69"/>
      <c r="G105" s="69"/>
      <c r="H105" s="69"/>
      <c r="I105" s="108"/>
      <c r="J105" s="69"/>
      <c r="K105" s="69"/>
      <c r="L105" s="62"/>
    </row>
    <row r="106" spans="1:12" x14ac:dyDescent="0.15">
      <c r="A106" s="70"/>
      <c r="B106" s="63"/>
      <c r="D106" s="69"/>
      <c r="E106" s="69"/>
      <c r="F106" s="69"/>
      <c r="G106" s="69"/>
      <c r="H106" s="69"/>
      <c r="I106" s="108"/>
      <c r="J106" s="69"/>
      <c r="K106" s="69"/>
      <c r="L106" s="62"/>
    </row>
    <row r="107" spans="1:12" x14ac:dyDescent="0.15">
      <c r="A107" s="70"/>
      <c r="B107" s="63"/>
      <c r="D107" s="69"/>
      <c r="E107" s="69"/>
      <c r="F107" s="69"/>
      <c r="G107" s="69"/>
      <c r="H107" s="69"/>
      <c r="I107" s="108"/>
      <c r="J107" s="69"/>
      <c r="K107" s="69"/>
      <c r="L107" s="62"/>
    </row>
    <row r="108" spans="1:12" x14ac:dyDescent="0.15">
      <c r="A108" s="70"/>
      <c r="B108" s="63"/>
      <c r="D108" s="69"/>
      <c r="E108" s="69"/>
      <c r="F108" s="69"/>
      <c r="G108" s="69"/>
      <c r="H108" s="69"/>
      <c r="I108" s="108"/>
      <c r="J108" s="69"/>
      <c r="K108" s="69"/>
      <c r="L108" s="62"/>
    </row>
    <row r="109" spans="1:12" x14ac:dyDescent="0.15">
      <c r="A109" s="70"/>
      <c r="B109" s="63"/>
      <c r="D109" s="69"/>
      <c r="E109" s="69"/>
      <c r="F109" s="69"/>
      <c r="G109" s="69"/>
      <c r="H109" s="69"/>
      <c r="I109" s="108"/>
      <c r="J109" s="69"/>
      <c r="K109" s="69"/>
      <c r="L109" s="62"/>
    </row>
    <row r="110" spans="1:12" x14ac:dyDescent="0.15">
      <c r="A110" s="70"/>
      <c r="B110" s="63"/>
      <c r="D110" s="69"/>
      <c r="E110" s="69"/>
      <c r="F110" s="69"/>
      <c r="G110" s="69"/>
      <c r="H110" s="69"/>
      <c r="I110" s="108"/>
      <c r="J110" s="69"/>
      <c r="K110" s="69"/>
      <c r="L110" s="62"/>
    </row>
    <row r="111" spans="1:12" x14ac:dyDescent="0.15">
      <c r="A111" s="70"/>
      <c r="B111" s="63"/>
      <c r="D111" s="69"/>
      <c r="E111" s="69"/>
      <c r="F111" s="69"/>
      <c r="G111" s="69"/>
      <c r="H111" s="69"/>
      <c r="I111" s="108"/>
      <c r="J111" s="69"/>
      <c r="K111" s="69"/>
      <c r="L111" s="62"/>
    </row>
    <row r="112" spans="1:12" x14ac:dyDescent="0.15">
      <c r="A112" s="70"/>
      <c r="B112" s="63"/>
      <c r="D112" s="69"/>
      <c r="E112" s="69"/>
      <c r="F112" s="69"/>
      <c r="G112" s="69"/>
      <c r="H112" s="69"/>
      <c r="I112" s="108"/>
      <c r="J112" s="69"/>
      <c r="K112" s="69"/>
      <c r="L112" s="62"/>
    </row>
    <row r="113" spans="1:12" x14ac:dyDescent="0.15">
      <c r="A113" s="70"/>
      <c r="B113" s="63"/>
      <c r="D113" s="69"/>
      <c r="E113" s="69"/>
      <c r="F113" s="69"/>
      <c r="G113" s="69"/>
      <c r="H113" s="69"/>
      <c r="I113" s="108"/>
      <c r="J113" s="69"/>
      <c r="K113" s="69"/>
      <c r="L113" s="62"/>
    </row>
    <row r="114" spans="1:12" x14ac:dyDescent="0.15">
      <c r="A114" s="70"/>
      <c r="B114" s="63"/>
      <c r="D114" s="69"/>
      <c r="E114" s="69"/>
      <c r="F114" s="69"/>
      <c r="G114" s="69"/>
      <c r="H114" s="69"/>
      <c r="I114" s="108"/>
      <c r="J114" s="69"/>
      <c r="K114" s="69"/>
      <c r="L114" s="62"/>
    </row>
    <row r="115" spans="1:12" x14ac:dyDescent="0.15">
      <c r="A115" s="70"/>
      <c r="B115" s="58"/>
      <c r="D115" s="69"/>
      <c r="E115" s="69"/>
      <c r="F115" s="69"/>
      <c r="G115" s="69"/>
      <c r="H115" s="69"/>
      <c r="I115" s="108"/>
      <c r="J115" s="69"/>
      <c r="K115" s="69"/>
      <c r="L115" s="62"/>
    </row>
    <row r="116" spans="1:12" x14ac:dyDescent="0.15">
      <c r="A116" s="70"/>
      <c r="B116" s="58"/>
      <c r="D116" s="69"/>
      <c r="E116" s="69"/>
      <c r="F116" s="69"/>
      <c r="G116" s="69"/>
      <c r="H116" s="69"/>
      <c r="I116" s="108"/>
      <c r="J116" s="69"/>
      <c r="K116" s="69"/>
      <c r="L116" s="62"/>
    </row>
    <row r="117" spans="1:12" x14ac:dyDescent="0.15">
      <c r="A117" s="70"/>
      <c r="B117" s="58"/>
      <c r="D117" s="69"/>
      <c r="E117" s="69"/>
      <c r="F117" s="69"/>
      <c r="G117" s="69"/>
      <c r="H117" s="69"/>
      <c r="I117" s="69"/>
      <c r="J117" s="69"/>
      <c r="K117" s="69"/>
      <c r="L117" s="62"/>
    </row>
    <row r="118" spans="1:12" x14ac:dyDescent="0.15">
      <c r="A118" s="70"/>
      <c r="B118" s="58"/>
      <c r="D118" s="69"/>
      <c r="E118" s="69"/>
      <c r="F118" s="69"/>
      <c r="G118" s="69"/>
      <c r="H118" s="69"/>
      <c r="I118" s="69"/>
      <c r="J118" s="69"/>
      <c r="K118" s="69"/>
      <c r="L118" s="62"/>
    </row>
    <row r="119" spans="1:12" x14ac:dyDescent="0.15">
      <c r="A119" s="70"/>
      <c r="B119" s="58"/>
      <c r="D119" s="69"/>
      <c r="E119" s="69"/>
      <c r="F119" s="69"/>
      <c r="G119" s="69"/>
      <c r="H119" s="69"/>
      <c r="I119" s="69"/>
      <c r="J119" s="69"/>
      <c r="K119" s="69"/>
      <c r="L119" s="62"/>
    </row>
    <row r="120" spans="1:12" x14ac:dyDescent="0.15">
      <c r="A120" s="70"/>
      <c r="B120" s="58"/>
      <c r="D120" s="69"/>
      <c r="E120" s="69"/>
      <c r="F120" s="69"/>
      <c r="G120" s="69"/>
      <c r="H120" s="69"/>
      <c r="I120" s="69"/>
      <c r="J120" s="69"/>
      <c r="K120" s="69"/>
      <c r="L120" s="62"/>
    </row>
    <row r="121" spans="1:12" x14ac:dyDescent="0.15">
      <c r="A121" s="70"/>
      <c r="B121" s="58"/>
      <c r="D121" s="69"/>
      <c r="E121" s="69"/>
      <c r="F121" s="69"/>
      <c r="G121" s="69"/>
      <c r="H121" s="69"/>
      <c r="I121" s="69"/>
      <c r="J121" s="69"/>
      <c r="K121" s="69"/>
      <c r="L121" s="62"/>
    </row>
    <row r="122" spans="1:12" x14ac:dyDescent="0.15">
      <c r="A122" s="70"/>
      <c r="B122" s="58"/>
      <c r="D122" s="69"/>
      <c r="E122" s="69"/>
      <c r="F122" s="69"/>
      <c r="G122" s="69"/>
      <c r="H122" s="69"/>
      <c r="I122" s="69"/>
      <c r="J122" s="69"/>
      <c r="K122" s="69"/>
      <c r="L122" s="62"/>
    </row>
    <row r="123" spans="1:12" x14ac:dyDescent="0.15">
      <c r="A123" s="70"/>
      <c r="B123" s="58"/>
      <c r="D123" s="69"/>
      <c r="E123" s="69"/>
      <c r="F123" s="69"/>
      <c r="G123" s="69"/>
      <c r="H123" s="69"/>
      <c r="I123" s="69"/>
      <c r="J123" s="69"/>
      <c r="K123" s="69"/>
      <c r="L123" s="62"/>
    </row>
    <row r="124" spans="1:12" x14ac:dyDescent="0.15">
      <c r="A124" s="70"/>
      <c r="B124" s="58"/>
      <c r="D124" s="69"/>
      <c r="E124" s="69"/>
      <c r="F124" s="69"/>
      <c r="G124" s="69"/>
      <c r="H124" s="69"/>
      <c r="I124" s="69"/>
      <c r="J124" s="69"/>
      <c r="K124" s="69"/>
      <c r="L124" s="62"/>
    </row>
    <row r="125" spans="1:12" x14ac:dyDescent="0.15">
      <c r="A125" s="70"/>
      <c r="B125" s="58"/>
      <c r="D125" s="69"/>
      <c r="E125" s="69"/>
      <c r="F125" s="69"/>
      <c r="G125" s="69"/>
      <c r="H125" s="69"/>
      <c r="I125" s="69"/>
      <c r="J125" s="69"/>
      <c r="K125" s="69"/>
      <c r="L125" s="62"/>
    </row>
    <row r="126" spans="1:12" x14ac:dyDescent="0.15">
      <c r="A126" s="70"/>
      <c r="B126" s="58"/>
      <c r="D126" s="69"/>
      <c r="E126" s="69"/>
      <c r="F126" s="69"/>
      <c r="G126" s="69"/>
      <c r="H126" s="69"/>
      <c r="I126" s="69"/>
      <c r="J126" s="69"/>
      <c r="K126" s="69"/>
      <c r="L126" s="62"/>
    </row>
    <row r="127" spans="1:12" x14ac:dyDescent="0.15">
      <c r="A127" s="70"/>
      <c r="B127" s="58"/>
      <c r="D127" s="69"/>
      <c r="E127" s="69"/>
      <c r="F127" s="69"/>
      <c r="G127" s="69"/>
      <c r="H127" s="69"/>
      <c r="I127" s="69"/>
      <c r="J127" s="69"/>
      <c r="K127" s="69"/>
      <c r="L127" s="62"/>
    </row>
    <row r="128" spans="1:12" x14ac:dyDescent="0.15">
      <c r="A128" s="70"/>
      <c r="B128" s="58"/>
      <c r="D128" s="69"/>
      <c r="E128" s="69"/>
      <c r="F128" s="69"/>
      <c r="G128" s="69"/>
      <c r="H128" s="69"/>
      <c r="I128" s="69"/>
      <c r="J128" s="69"/>
      <c r="K128" s="69"/>
      <c r="L128" s="62"/>
    </row>
    <row r="129" spans="1:12" x14ac:dyDescent="0.15">
      <c r="A129" s="70"/>
      <c r="B129" s="58"/>
      <c r="D129" s="69"/>
      <c r="E129" s="69"/>
      <c r="F129" s="69"/>
      <c r="G129" s="69"/>
      <c r="H129" s="69"/>
      <c r="I129" s="69"/>
      <c r="J129" s="69"/>
      <c r="K129" s="69"/>
      <c r="L129" s="62"/>
    </row>
    <row r="130" spans="1:12" x14ac:dyDescent="0.15">
      <c r="A130" s="70"/>
      <c r="B130" s="58"/>
      <c r="D130" s="69"/>
      <c r="E130" s="69"/>
      <c r="F130" s="69"/>
      <c r="G130" s="69"/>
      <c r="H130" s="69"/>
      <c r="I130" s="69"/>
      <c r="J130" s="69"/>
      <c r="K130" s="69"/>
      <c r="L130" s="62"/>
    </row>
    <row r="131" spans="1:12" x14ac:dyDescent="0.15">
      <c r="A131" s="70"/>
      <c r="B131" s="58"/>
      <c r="D131" s="69"/>
      <c r="E131" s="69"/>
      <c r="F131" s="69"/>
      <c r="G131" s="69"/>
      <c r="H131" s="69"/>
      <c r="I131" s="69"/>
      <c r="J131" s="69"/>
      <c r="K131" s="69"/>
      <c r="L131" s="62"/>
    </row>
    <row r="132" spans="1:12" x14ac:dyDescent="0.15">
      <c r="A132" s="70"/>
      <c r="B132" s="58"/>
      <c r="D132" s="69"/>
      <c r="E132" s="69"/>
      <c r="F132" s="69"/>
      <c r="G132" s="69"/>
      <c r="H132" s="69"/>
      <c r="I132" s="69"/>
      <c r="J132" s="69"/>
      <c r="K132" s="69"/>
      <c r="L132" s="62"/>
    </row>
    <row r="133" spans="1:12" x14ac:dyDescent="0.15">
      <c r="A133" s="70"/>
      <c r="B133" s="58"/>
      <c r="D133" s="69"/>
      <c r="E133" s="69"/>
      <c r="F133" s="69"/>
      <c r="G133" s="69"/>
      <c r="H133" s="69"/>
      <c r="I133" s="69"/>
      <c r="J133" s="69"/>
      <c r="K133" s="69"/>
      <c r="L133" s="62"/>
    </row>
    <row r="134" spans="1:12" x14ac:dyDescent="0.15">
      <c r="A134" s="70"/>
      <c r="B134" s="58"/>
      <c r="D134" s="69"/>
      <c r="E134" s="69"/>
      <c r="F134" s="69"/>
      <c r="G134" s="69"/>
      <c r="H134" s="69"/>
      <c r="I134" s="69"/>
      <c r="J134" s="69"/>
      <c r="K134" s="69"/>
      <c r="L134" s="62"/>
    </row>
    <row r="135" spans="1:12" x14ac:dyDescent="0.15">
      <c r="A135" s="70"/>
      <c r="B135" s="58"/>
      <c r="D135" s="69"/>
      <c r="E135" s="69"/>
      <c r="F135" s="69"/>
      <c r="G135" s="69"/>
      <c r="H135" s="69"/>
      <c r="I135" s="69"/>
      <c r="J135" s="69"/>
      <c r="K135" s="69"/>
      <c r="L135" s="62"/>
    </row>
    <row r="136" spans="1:12" x14ac:dyDescent="0.15">
      <c r="A136" s="70"/>
      <c r="B136" s="58"/>
      <c r="D136" s="69"/>
      <c r="E136" s="69"/>
      <c r="F136" s="69"/>
      <c r="G136" s="69"/>
      <c r="H136" s="69"/>
      <c r="I136" s="69"/>
      <c r="J136" s="69"/>
      <c r="K136" s="69"/>
      <c r="L136" s="62"/>
    </row>
    <row r="137" spans="1:12" x14ac:dyDescent="0.15">
      <c r="A137" s="70"/>
      <c r="B137" s="58"/>
      <c r="D137" s="69"/>
      <c r="E137" s="69"/>
      <c r="F137" s="69"/>
      <c r="G137" s="69"/>
      <c r="H137" s="69"/>
      <c r="I137" s="69"/>
      <c r="J137" s="69"/>
      <c r="K137" s="69"/>
      <c r="L137" s="62"/>
    </row>
    <row r="138" spans="1:12" x14ac:dyDescent="0.15">
      <c r="A138" s="70"/>
      <c r="B138" s="58"/>
      <c r="D138" s="69"/>
      <c r="E138" s="69"/>
      <c r="F138" s="69"/>
      <c r="G138" s="69"/>
      <c r="H138" s="69"/>
      <c r="I138" s="69"/>
      <c r="J138" s="69"/>
      <c r="K138" s="69"/>
      <c r="L138" s="62"/>
    </row>
    <row r="139" spans="1:12" x14ac:dyDescent="0.15">
      <c r="A139" s="70"/>
      <c r="B139" s="58"/>
      <c r="D139" s="69"/>
      <c r="E139" s="69"/>
      <c r="F139" s="69"/>
      <c r="G139" s="69"/>
      <c r="H139" s="69"/>
      <c r="I139" s="69"/>
      <c r="J139" s="69"/>
      <c r="K139" s="69"/>
      <c r="L139" s="62"/>
    </row>
    <row r="140" spans="1:12" x14ac:dyDescent="0.15">
      <c r="A140" s="70"/>
      <c r="B140" s="58"/>
      <c r="D140" s="69"/>
      <c r="E140" s="69"/>
      <c r="F140" s="69"/>
      <c r="G140" s="69"/>
      <c r="H140" s="69"/>
      <c r="I140" s="69"/>
      <c r="J140" s="69"/>
      <c r="K140" s="69"/>
      <c r="L140" s="62"/>
    </row>
    <row r="141" spans="1:12" x14ac:dyDescent="0.15">
      <c r="A141" s="70"/>
      <c r="B141" s="58"/>
      <c r="D141" s="69"/>
      <c r="E141" s="69"/>
      <c r="F141" s="69"/>
      <c r="G141" s="69"/>
      <c r="H141" s="69"/>
      <c r="I141" s="69"/>
      <c r="J141" s="69"/>
      <c r="K141" s="69"/>
      <c r="L141" s="62"/>
    </row>
    <row r="142" spans="1:12" x14ac:dyDescent="0.15">
      <c r="A142" s="70"/>
      <c r="B142" s="58"/>
      <c r="D142" s="69"/>
      <c r="E142" s="69"/>
      <c r="F142" s="69"/>
      <c r="G142" s="69"/>
      <c r="H142" s="69"/>
      <c r="I142" s="69"/>
      <c r="J142" s="69"/>
      <c r="K142" s="69"/>
      <c r="L142" s="62"/>
    </row>
    <row r="143" spans="1:12" x14ac:dyDescent="0.15">
      <c r="A143" s="70"/>
      <c r="B143" s="58"/>
      <c r="D143" s="69"/>
      <c r="E143" s="69"/>
      <c r="F143" s="69"/>
      <c r="G143" s="69"/>
      <c r="H143" s="69"/>
      <c r="I143" s="69"/>
      <c r="J143" s="69"/>
      <c r="K143" s="69"/>
      <c r="L143" s="62"/>
    </row>
    <row r="144" spans="1:12" x14ac:dyDescent="0.15">
      <c r="A144" s="70"/>
      <c r="B144" s="58"/>
      <c r="D144" s="69"/>
      <c r="E144" s="69"/>
      <c r="F144" s="69"/>
      <c r="G144" s="69"/>
      <c r="H144" s="69"/>
      <c r="I144" s="69"/>
      <c r="J144" s="69"/>
      <c r="K144" s="69"/>
      <c r="L144" s="62"/>
    </row>
    <row r="145" spans="1:12" x14ac:dyDescent="0.15">
      <c r="A145" s="70"/>
      <c r="B145" s="58"/>
      <c r="D145" s="69"/>
      <c r="E145" s="69"/>
      <c r="F145" s="69"/>
      <c r="G145" s="69"/>
      <c r="H145" s="69"/>
      <c r="I145" s="69"/>
      <c r="J145" s="69"/>
      <c r="K145" s="69"/>
      <c r="L145" s="62"/>
    </row>
    <row r="146" spans="1:12" x14ac:dyDescent="0.15">
      <c r="A146" s="70"/>
      <c r="B146" s="58"/>
      <c r="D146" s="69"/>
      <c r="E146" s="69"/>
      <c r="F146" s="69"/>
      <c r="G146" s="69"/>
      <c r="H146" s="69"/>
      <c r="I146" s="69"/>
      <c r="J146" s="69"/>
      <c r="K146" s="69"/>
      <c r="L146" s="62"/>
    </row>
    <row r="147" spans="1:12" x14ac:dyDescent="0.15">
      <c r="A147" s="70"/>
      <c r="B147" s="58"/>
      <c r="D147" s="69"/>
      <c r="E147" s="69"/>
      <c r="F147" s="69"/>
      <c r="G147" s="69"/>
      <c r="H147" s="69"/>
      <c r="I147" s="69"/>
      <c r="J147" s="69"/>
      <c r="K147" s="69"/>
      <c r="L147" s="62"/>
    </row>
    <row r="148" spans="1:12" x14ac:dyDescent="0.15">
      <c r="A148" s="70"/>
      <c r="B148" s="58"/>
      <c r="D148" s="69"/>
      <c r="E148" s="69"/>
      <c r="F148" s="69"/>
      <c r="G148" s="69"/>
      <c r="H148" s="69"/>
      <c r="I148" s="69"/>
      <c r="J148" s="69"/>
      <c r="K148" s="69"/>
      <c r="L148" s="62"/>
    </row>
    <row r="149" spans="1:12" x14ac:dyDescent="0.15">
      <c r="A149" s="70"/>
      <c r="B149" s="58"/>
      <c r="D149" s="69"/>
      <c r="E149" s="69"/>
      <c r="F149" s="69"/>
      <c r="G149" s="69"/>
      <c r="H149" s="69"/>
      <c r="I149" s="69"/>
      <c r="J149" s="69"/>
      <c r="K149" s="69"/>
      <c r="L149" s="62"/>
    </row>
    <row r="150" spans="1:12" x14ac:dyDescent="0.15">
      <c r="A150" s="70"/>
      <c r="B150" s="58"/>
      <c r="D150" s="69"/>
      <c r="E150" s="69"/>
      <c r="F150" s="69"/>
      <c r="G150" s="69"/>
      <c r="H150" s="69"/>
      <c r="I150" s="69"/>
      <c r="J150" s="69"/>
      <c r="K150" s="69"/>
      <c r="L150" s="62"/>
    </row>
    <row r="151" spans="1:12" x14ac:dyDescent="0.15">
      <c r="A151" s="70"/>
      <c r="B151" s="58"/>
      <c r="D151" s="69"/>
      <c r="E151" s="69"/>
      <c r="F151" s="69"/>
      <c r="G151" s="69"/>
      <c r="H151" s="69"/>
      <c r="I151" s="69"/>
      <c r="J151" s="69"/>
      <c r="K151" s="69"/>
      <c r="L151" s="62"/>
    </row>
    <row r="152" spans="1:12" x14ac:dyDescent="0.15">
      <c r="A152" s="70"/>
      <c r="B152" s="58"/>
      <c r="D152" s="69"/>
      <c r="E152" s="69"/>
      <c r="F152" s="69"/>
      <c r="G152" s="69"/>
      <c r="H152" s="69"/>
      <c r="I152" s="69"/>
      <c r="J152" s="69"/>
      <c r="K152" s="69"/>
      <c r="L152" s="62"/>
    </row>
    <row r="153" spans="1:12" x14ac:dyDescent="0.15">
      <c r="A153" s="70"/>
      <c r="B153" s="58"/>
      <c r="D153" s="69"/>
      <c r="E153" s="69"/>
      <c r="F153" s="69"/>
      <c r="G153" s="69"/>
      <c r="H153" s="69"/>
      <c r="I153" s="69"/>
      <c r="J153" s="69"/>
      <c r="K153" s="69"/>
      <c r="L153" s="62"/>
    </row>
    <row r="154" spans="1:12" x14ac:dyDescent="0.15">
      <c r="A154" s="70"/>
      <c r="B154" s="58"/>
      <c r="D154" s="69"/>
      <c r="E154" s="69"/>
      <c r="F154" s="69"/>
      <c r="G154" s="69"/>
      <c r="H154" s="69"/>
      <c r="I154" s="69"/>
      <c r="J154" s="69"/>
      <c r="K154" s="69"/>
      <c r="L154" s="62"/>
    </row>
    <row r="155" spans="1:12" x14ac:dyDescent="0.15">
      <c r="A155" s="70"/>
      <c r="B155" s="58"/>
      <c r="D155" s="69"/>
      <c r="E155" s="69"/>
      <c r="F155" s="69"/>
      <c r="G155" s="69"/>
      <c r="H155" s="69"/>
      <c r="I155" s="69"/>
      <c r="J155" s="69"/>
      <c r="K155" s="69"/>
      <c r="L155" s="62"/>
    </row>
    <row r="156" spans="1:12" x14ac:dyDescent="0.15">
      <c r="A156" s="70"/>
      <c r="B156" s="58"/>
      <c r="D156" s="69"/>
      <c r="E156" s="69"/>
      <c r="F156" s="69"/>
      <c r="G156" s="69"/>
      <c r="H156" s="69"/>
      <c r="I156" s="69"/>
      <c r="J156" s="69"/>
      <c r="K156" s="69"/>
      <c r="L156" s="62"/>
    </row>
    <row r="157" spans="1:12" x14ac:dyDescent="0.15">
      <c r="A157" s="70"/>
      <c r="B157" s="58"/>
      <c r="D157" s="69"/>
      <c r="E157" s="69"/>
      <c r="F157" s="69"/>
      <c r="G157" s="69"/>
      <c r="H157" s="69"/>
      <c r="I157" s="69"/>
      <c r="J157" s="69"/>
      <c r="K157" s="69"/>
      <c r="L157" s="62"/>
    </row>
    <row r="158" spans="1:12" x14ac:dyDescent="0.15">
      <c r="A158" s="70"/>
      <c r="B158" s="58"/>
      <c r="D158" s="69"/>
      <c r="E158" s="69"/>
      <c r="F158" s="69"/>
      <c r="G158" s="69"/>
      <c r="H158" s="69"/>
      <c r="I158" s="69"/>
      <c r="J158" s="69"/>
      <c r="K158" s="69"/>
      <c r="L158" s="62"/>
    </row>
    <row r="159" spans="1:12" x14ac:dyDescent="0.15">
      <c r="A159" s="70"/>
      <c r="B159" s="58"/>
      <c r="D159" s="69"/>
      <c r="E159" s="69"/>
      <c r="F159" s="69"/>
      <c r="G159" s="69"/>
      <c r="H159" s="69"/>
      <c r="I159" s="69"/>
      <c r="J159" s="69"/>
      <c r="K159" s="69"/>
      <c r="L159" s="62"/>
    </row>
    <row r="160" spans="1:12" x14ac:dyDescent="0.15">
      <c r="A160" s="70"/>
      <c r="B160" s="58"/>
      <c r="D160" s="69"/>
      <c r="E160" s="69"/>
      <c r="F160" s="69"/>
      <c r="G160" s="69"/>
      <c r="H160" s="69"/>
      <c r="I160" s="69"/>
      <c r="J160" s="69"/>
      <c r="K160" s="69"/>
      <c r="L160" s="62"/>
    </row>
    <row r="161" spans="2:12" x14ac:dyDescent="0.15">
      <c r="B161" s="58"/>
      <c r="D161" s="69"/>
      <c r="E161" s="69"/>
      <c r="F161" s="69"/>
      <c r="G161" s="69"/>
      <c r="H161" s="69"/>
      <c r="I161" s="69"/>
      <c r="J161" s="69"/>
      <c r="K161" s="69"/>
      <c r="L161" s="62"/>
    </row>
    <row r="162" spans="2:12" x14ac:dyDescent="0.15">
      <c r="B162" s="58"/>
      <c r="D162" s="69"/>
      <c r="E162" s="69"/>
      <c r="F162" s="69"/>
      <c r="G162" s="69"/>
      <c r="H162" s="69"/>
      <c r="I162" s="69"/>
      <c r="J162" s="69"/>
      <c r="K162" s="69"/>
      <c r="L162" s="62"/>
    </row>
    <row r="163" spans="2:12" x14ac:dyDescent="0.15">
      <c r="B163" s="58"/>
      <c r="D163" s="69"/>
      <c r="E163" s="69"/>
      <c r="F163" s="69"/>
      <c r="G163" s="69"/>
      <c r="H163" s="69"/>
      <c r="I163" s="69"/>
      <c r="J163" s="69"/>
      <c r="K163" s="69"/>
      <c r="L163" s="62"/>
    </row>
    <row r="164" spans="2:12" x14ac:dyDescent="0.15">
      <c r="B164" s="58"/>
      <c r="D164" s="69"/>
      <c r="E164" s="69"/>
      <c r="F164" s="69"/>
      <c r="G164" s="69"/>
      <c r="H164" s="69"/>
      <c r="I164" s="69"/>
      <c r="J164" s="69"/>
      <c r="K164" s="69"/>
      <c r="L164" s="62"/>
    </row>
    <row r="165" spans="2:12" x14ac:dyDescent="0.15">
      <c r="B165" s="58"/>
      <c r="D165" s="69"/>
      <c r="E165" s="69"/>
      <c r="F165" s="69"/>
      <c r="G165" s="69"/>
      <c r="H165" s="69"/>
      <c r="I165" s="69"/>
      <c r="J165" s="69"/>
      <c r="K165" s="69"/>
      <c r="L165" s="62"/>
    </row>
    <row r="166" spans="2:12" x14ac:dyDescent="0.15">
      <c r="B166" s="58"/>
      <c r="D166" s="69"/>
      <c r="E166" s="69"/>
      <c r="F166" s="69"/>
      <c r="G166" s="69"/>
      <c r="H166" s="69"/>
      <c r="I166" s="69"/>
      <c r="J166" s="69"/>
      <c r="K166" s="69"/>
      <c r="L166" s="62"/>
    </row>
    <row r="167" spans="2:12" x14ac:dyDescent="0.15">
      <c r="B167" s="58"/>
      <c r="D167" s="69"/>
      <c r="E167" s="69"/>
      <c r="F167" s="69"/>
      <c r="G167" s="69"/>
      <c r="H167" s="69"/>
      <c r="I167" s="69"/>
      <c r="J167" s="69"/>
      <c r="K167" s="69"/>
      <c r="L167" s="62"/>
    </row>
    <row r="168" spans="2:12" x14ac:dyDescent="0.15">
      <c r="B168" s="58"/>
      <c r="D168" s="69"/>
      <c r="E168" s="69"/>
      <c r="F168" s="69"/>
      <c r="G168" s="69"/>
      <c r="H168" s="69"/>
      <c r="I168" s="69"/>
      <c r="J168" s="69"/>
      <c r="K168" s="69"/>
      <c r="L168" s="62"/>
    </row>
    <row r="169" spans="2:12" x14ac:dyDescent="0.15">
      <c r="B169" s="58"/>
      <c r="D169" s="69"/>
      <c r="E169" s="69"/>
      <c r="F169" s="69"/>
      <c r="G169" s="69"/>
      <c r="H169" s="69"/>
      <c r="I169" s="69"/>
      <c r="J169" s="69"/>
      <c r="K169" s="69"/>
      <c r="L169" s="62"/>
    </row>
    <row r="170" spans="2:12" x14ac:dyDescent="0.15">
      <c r="B170" s="58"/>
      <c r="D170" s="69"/>
      <c r="E170" s="69"/>
      <c r="F170" s="69"/>
      <c r="G170" s="69"/>
      <c r="H170" s="69"/>
      <c r="I170" s="69"/>
      <c r="J170" s="69"/>
      <c r="K170" s="69"/>
      <c r="L170" s="62"/>
    </row>
    <row r="171" spans="2:12" x14ac:dyDescent="0.15">
      <c r="B171" s="58"/>
      <c r="D171" s="69"/>
      <c r="E171" s="69"/>
      <c r="F171" s="69"/>
      <c r="G171" s="69"/>
      <c r="H171" s="69"/>
      <c r="I171" s="69"/>
      <c r="J171" s="69"/>
      <c r="K171" s="69"/>
      <c r="L171" s="62"/>
    </row>
    <row r="172" spans="2:12" x14ac:dyDescent="0.15">
      <c r="B172" s="58"/>
      <c r="D172" s="69"/>
      <c r="E172" s="69"/>
      <c r="F172" s="69"/>
      <c r="G172" s="69"/>
      <c r="H172" s="69"/>
      <c r="I172" s="69"/>
      <c r="J172" s="69"/>
      <c r="K172" s="69"/>
      <c r="L172" s="62"/>
    </row>
    <row r="173" spans="2:12" x14ac:dyDescent="0.15">
      <c r="B173" s="58"/>
      <c r="D173" s="69"/>
      <c r="E173" s="69"/>
      <c r="F173" s="69"/>
      <c r="G173" s="69"/>
      <c r="H173" s="69"/>
      <c r="I173" s="69"/>
      <c r="J173" s="69"/>
      <c r="K173" s="69"/>
      <c r="L173" s="62"/>
    </row>
    <row r="174" spans="2:12" x14ac:dyDescent="0.15">
      <c r="B174" s="58"/>
      <c r="D174" s="69"/>
      <c r="E174" s="69"/>
      <c r="F174" s="69"/>
      <c r="G174" s="69"/>
      <c r="H174" s="69"/>
      <c r="I174" s="69"/>
      <c r="J174" s="69"/>
      <c r="K174" s="69"/>
      <c r="L174" s="62"/>
    </row>
    <row r="175" spans="2:12" x14ac:dyDescent="0.15">
      <c r="B175" s="58"/>
      <c r="D175" s="69"/>
      <c r="E175" s="69"/>
      <c r="F175" s="69"/>
      <c r="G175" s="69"/>
      <c r="H175" s="69"/>
      <c r="I175" s="69"/>
      <c r="J175" s="69"/>
      <c r="K175" s="69"/>
      <c r="L175" s="62"/>
    </row>
    <row r="176" spans="2:12" x14ac:dyDescent="0.15">
      <c r="B176" s="58"/>
      <c r="D176" s="69"/>
      <c r="E176" s="69"/>
      <c r="F176" s="69"/>
      <c r="G176" s="69"/>
      <c r="H176" s="69"/>
      <c r="I176" s="69"/>
      <c r="J176" s="69"/>
      <c r="K176" s="69"/>
      <c r="L176" s="62"/>
    </row>
    <row r="177" spans="2:12" x14ac:dyDescent="0.15">
      <c r="B177" s="58"/>
      <c r="D177" s="69"/>
      <c r="E177" s="69"/>
      <c r="F177" s="69"/>
      <c r="G177" s="69"/>
      <c r="H177" s="69"/>
      <c r="I177" s="69"/>
      <c r="J177" s="69"/>
      <c r="K177" s="69"/>
      <c r="L177" s="62"/>
    </row>
    <row r="178" spans="2:12" x14ac:dyDescent="0.15">
      <c r="B178" s="58"/>
      <c r="D178" s="69"/>
      <c r="E178" s="69"/>
      <c r="F178" s="69"/>
      <c r="G178" s="69"/>
      <c r="H178" s="69"/>
      <c r="I178" s="69"/>
      <c r="J178" s="69"/>
      <c r="K178" s="69"/>
      <c r="L178" s="62"/>
    </row>
    <row r="179" spans="2:12" x14ac:dyDescent="0.15">
      <c r="B179" s="58"/>
      <c r="D179" s="69"/>
      <c r="E179" s="69"/>
      <c r="F179" s="69"/>
      <c r="G179" s="69"/>
      <c r="H179" s="69"/>
      <c r="I179" s="69"/>
      <c r="J179" s="69"/>
      <c r="K179" s="69"/>
      <c r="L179" s="62"/>
    </row>
    <row r="180" spans="2:12" x14ac:dyDescent="0.15">
      <c r="B180" s="58"/>
      <c r="D180" s="69"/>
      <c r="E180" s="69"/>
      <c r="F180" s="69"/>
      <c r="G180" s="69"/>
      <c r="H180" s="69"/>
      <c r="I180" s="69"/>
      <c r="J180" s="69"/>
      <c r="K180" s="69"/>
      <c r="L180" s="62"/>
    </row>
    <row r="181" spans="2:12" x14ac:dyDescent="0.15">
      <c r="B181" s="58"/>
      <c r="D181" s="69"/>
      <c r="E181" s="69"/>
      <c r="F181" s="69"/>
      <c r="G181" s="69"/>
      <c r="H181" s="69"/>
      <c r="I181" s="69"/>
      <c r="J181" s="69"/>
      <c r="K181" s="69"/>
      <c r="L181" s="62"/>
    </row>
    <row r="182" spans="2:12" x14ac:dyDescent="0.15">
      <c r="B182" s="58"/>
      <c r="D182" s="69"/>
      <c r="E182" s="69"/>
      <c r="F182" s="69"/>
      <c r="G182" s="69"/>
      <c r="H182" s="69"/>
      <c r="I182" s="69"/>
      <c r="J182" s="69"/>
      <c r="K182" s="69"/>
      <c r="L182" s="62"/>
    </row>
    <row r="183" spans="2:12" x14ac:dyDescent="0.15">
      <c r="B183" s="58"/>
      <c r="D183" s="69"/>
      <c r="E183" s="69"/>
      <c r="F183" s="69"/>
      <c r="G183" s="69"/>
      <c r="H183" s="69"/>
      <c r="I183" s="69"/>
      <c r="J183" s="69"/>
      <c r="K183" s="69"/>
      <c r="L183" s="62"/>
    </row>
    <row r="184" spans="2:12" x14ac:dyDescent="0.15">
      <c r="B184" s="58"/>
      <c r="D184" s="69"/>
      <c r="E184" s="69"/>
      <c r="F184" s="69"/>
      <c r="G184" s="69"/>
      <c r="H184" s="69"/>
      <c r="I184" s="69"/>
      <c r="J184" s="69"/>
      <c r="K184" s="69"/>
      <c r="L184" s="62"/>
    </row>
    <row r="185" spans="2:12" x14ac:dyDescent="0.15">
      <c r="B185" s="58"/>
      <c r="D185" s="69"/>
      <c r="E185" s="69"/>
      <c r="F185" s="69"/>
      <c r="G185" s="69"/>
      <c r="H185" s="69"/>
      <c r="I185" s="69"/>
      <c r="J185" s="69"/>
      <c r="K185" s="69"/>
      <c r="L185" s="62"/>
    </row>
    <row r="186" spans="2:12" x14ac:dyDescent="0.15">
      <c r="B186" s="58"/>
      <c r="D186" s="69"/>
      <c r="E186" s="69"/>
      <c r="F186" s="69"/>
      <c r="G186" s="69"/>
      <c r="H186" s="69"/>
      <c r="I186" s="69"/>
      <c r="J186" s="69"/>
      <c r="K186" s="69"/>
      <c r="L186" s="62"/>
    </row>
    <row r="187" spans="2:12" x14ac:dyDescent="0.15">
      <c r="B187" s="58"/>
      <c r="D187" s="69"/>
      <c r="E187" s="69"/>
      <c r="F187" s="69"/>
      <c r="G187" s="69"/>
      <c r="H187" s="69"/>
      <c r="I187" s="69"/>
      <c r="J187" s="69"/>
      <c r="K187" s="69"/>
      <c r="L187" s="62"/>
    </row>
    <row r="188" spans="2:12" x14ac:dyDescent="0.15">
      <c r="B188" s="58"/>
      <c r="D188" s="69"/>
      <c r="E188" s="69"/>
      <c r="F188" s="69"/>
      <c r="G188" s="69"/>
      <c r="H188" s="69"/>
      <c r="I188" s="69"/>
      <c r="J188" s="69"/>
      <c r="K188" s="69"/>
      <c r="L188" s="62"/>
    </row>
    <row r="189" spans="2:12" x14ac:dyDescent="0.15">
      <c r="B189" s="58"/>
      <c r="D189" s="69"/>
      <c r="E189" s="69"/>
      <c r="F189" s="69"/>
      <c r="G189" s="69"/>
      <c r="H189" s="69"/>
      <c r="I189" s="69"/>
      <c r="J189" s="69"/>
      <c r="K189" s="69"/>
      <c r="L189" s="62"/>
    </row>
    <row r="190" spans="2:12" x14ac:dyDescent="0.15">
      <c r="B190" s="58"/>
      <c r="D190" s="69"/>
      <c r="E190" s="69"/>
      <c r="F190" s="69"/>
      <c r="G190" s="69"/>
      <c r="H190" s="69"/>
      <c r="I190" s="69"/>
      <c r="J190" s="69"/>
      <c r="K190" s="69"/>
      <c r="L190" s="62"/>
    </row>
    <row r="191" spans="2:12" x14ac:dyDescent="0.15">
      <c r="B191" s="58"/>
      <c r="D191" s="69"/>
      <c r="E191" s="69"/>
      <c r="F191" s="69"/>
      <c r="G191" s="69"/>
      <c r="H191" s="69"/>
      <c r="I191" s="69"/>
      <c r="J191" s="69"/>
      <c r="K191" s="69"/>
      <c r="L191" s="62"/>
    </row>
    <row r="192" spans="2:12" x14ac:dyDescent="0.15">
      <c r="B192" s="58"/>
      <c r="D192" s="69"/>
      <c r="E192" s="69"/>
      <c r="F192" s="69"/>
      <c r="G192" s="69"/>
      <c r="H192" s="69"/>
      <c r="I192" s="69"/>
      <c r="J192" s="69"/>
      <c r="K192" s="69"/>
      <c r="L192" s="62"/>
    </row>
    <row r="193" spans="2:12" x14ac:dyDescent="0.15">
      <c r="B193" s="58"/>
      <c r="D193" s="69"/>
      <c r="E193" s="69"/>
      <c r="F193" s="69"/>
      <c r="G193" s="69"/>
      <c r="H193" s="69"/>
      <c r="I193" s="69"/>
      <c r="J193" s="69"/>
      <c r="K193" s="69"/>
      <c r="L193" s="62"/>
    </row>
    <row r="194" spans="2:12" x14ac:dyDescent="0.15">
      <c r="B194" s="58"/>
      <c r="D194" s="69"/>
      <c r="E194" s="69"/>
      <c r="F194" s="69"/>
      <c r="G194" s="69"/>
      <c r="H194" s="69"/>
      <c r="I194" s="69"/>
      <c r="J194" s="69"/>
      <c r="K194" s="69"/>
      <c r="L194" s="62"/>
    </row>
    <row r="195" spans="2:12" x14ac:dyDescent="0.15">
      <c r="B195" s="58"/>
      <c r="D195" s="69"/>
      <c r="E195" s="69"/>
      <c r="F195" s="69"/>
      <c r="G195" s="69"/>
      <c r="H195" s="69"/>
      <c r="I195" s="69"/>
      <c r="J195" s="69"/>
      <c r="K195" s="69"/>
      <c r="L195" s="62"/>
    </row>
    <row r="196" spans="2:12" x14ac:dyDescent="0.15">
      <c r="B196" s="58"/>
      <c r="D196" s="69"/>
      <c r="E196" s="69"/>
      <c r="F196" s="69"/>
      <c r="G196" s="69"/>
      <c r="H196" s="69"/>
      <c r="I196" s="69"/>
      <c r="J196" s="69"/>
      <c r="K196" s="69"/>
      <c r="L196" s="62"/>
    </row>
    <row r="197" spans="2:12" x14ac:dyDescent="0.15">
      <c r="B197" s="58"/>
      <c r="D197" s="69"/>
      <c r="E197" s="69"/>
      <c r="F197" s="69"/>
      <c r="G197" s="69"/>
      <c r="H197" s="69"/>
      <c r="I197" s="69"/>
      <c r="J197" s="69"/>
      <c r="K197" s="69"/>
      <c r="L197" s="62"/>
    </row>
    <row r="198" spans="2:12" x14ac:dyDescent="0.15">
      <c r="B198" s="58"/>
      <c r="D198" s="69"/>
      <c r="E198" s="69"/>
      <c r="F198" s="69"/>
      <c r="G198" s="69"/>
      <c r="H198" s="69"/>
      <c r="I198" s="69"/>
      <c r="J198" s="69"/>
      <c r="K198" s="69"/>
      <c r="L198" s="62"/>
    </row>
    <row r="199" spans="2:12" x14ac:dyDescent="0.15">
      <c r="B199" s="58"/>
      <c r="D199" s="69"/>
      <c r="E199" s="69"/>
      <c r="F199" s="69"/>
      <c r="G199" s="69"/>
      <c r="H199" s="69"/>
      <c r="I199" s="69"/>
      <c r="J199" s="69"/>
      <c r="K199" s="69"/>
      <c r="L199" s="62"/>
    </row>
    <row r="200" spans="2:12" x14ac:dyDescent="0.15">
      <c r="B200" s="58"/>
      <c r="D200" s="69"/>
      <c r="E200" s="69"/>
      <c r="F200" s="69"/>
      <c r="G200" s="69"/>
      <c r="H200" s="69"/>
      <c r="I200" s="69"/>
      <c r="J200" s="69"/>
      <c r="K200" s="69"/>
      <c r="L200" s="62"/>
    </row>
    <row r="201" spans="2:12" x14ac:dyDescent="0.15">
      <c r="B201" s="58"/>
      <c r="D201" s="69"/>
      <c r="E201" s="69"/>
      <c r="F201" s="69"/>
      <c r="G201" s="69"/>
      <c r="H201" s="69"/>
      <c r="I201" s="69"/>
      <c r="J201" s="69"/>
      <c r="K201" s="69"/>
      <c r="L201" s="62"/>
    </row>
    <row r="202" spans="2:12" x14ac:dyDescent="0.15">
      <c r="B202" s="58"/>
      <c r="D202" s="69"/>
      <c r="E202" s="69"/>
      <c r="F202" s="69"/>
      <c r="G202" s="69"/>
      <c r="H202" s="69"/>
      <c r="I202" s="69"/>
      <c r="J202" s="69"/>
      <c r="K202" s="69"/>
      <c r="L202" s="62"/>
    </row>
    <row r="203" spans="2:12" x14ac:dyDescent="0.15">
      <c r="B203" s="58"/>
      <c r="D203" s="69"/>
      <c r="E203" s="69"/>
      <c r="F203" s="69"/>
      <c r="G203" s="69"/>
      <c r="H203" s="69"/>
      <c r="I203" s="69"/>
      <c r="J203" s="69"/>
      <c r="K203" s="69"/>
      <c r="L203" s="62"/>
    </row>
    <row r="204" spans="2:12" x14ac:dyDescent="0.15">
      <c r="B204" s="58"/>
      <c r="D204" s="69"/>
      <c r="E204" s="69"/>
      <c r="F204" s="69"/>
      <c r="G204" s="69"/>
      <c r="H204" s="69"/>
      <c r="I204" s="69"/>
      <c r="J204" s="69"/>
      <c r="K204" s="69"/>
      <c r="L204" s="62"/>
    </row>
    <row r="205" spans="2:12" x14ac:dyDescent="0.15">
      <c r="B205" s="58"/>
      <c r="D205" s="69"/>
      <c r="E205" s="69"/>
      <c r="F205" s="69"/>
      <c r="G205" s="69"/>
      <c r="H205" s="69"/>
      <c r="I205" s="69"/>
      <c r="J205" s="69"/>
      <c r="K205" s="69"/>
      <c r="L205" s="62"/>
    </row>
    <row r="206" spans="2:12" x14ac:dyDescent="0.15">
      <c r="B206" s="58"/>
      <c r="D206" s="69"/>
      <c r="E206" s="69"/>
      <c r="F206" s="69"/>
      <c r="G206" s="69"/>
      <c r="H206" s="69"/>
      <c r="I206" s="69"/>
      <c r="J206" s="69"/>
      <c r="K206" s="69"/>
      <c r="L206" s="62"/>
    </row>
    <row r="207" spans="2:12" x14ac:dyDescent="0.15">
      <c r="B207" s="58"/>
      <c r="D207" s="69"/>
      <c r="E207" s="69"/>
      <c r="F207" s="69"/>
      <c r="G207" s="69"/>
      <c r="H207" s="69"/>
      <c r="I207" s="69"/>
      <c r="J207" s="69"/>
      <c r="K207" s="69"/>
      <c r="L207" s="62"/>
    </row>
    <row r="208" spans="2:12" x14ac:dyDescent="0.15">
      <c r="B208" s="58"/>
      <c r="D208" s="69"/>
      <c r="E208" s="69"/>
      <c r="F208" s="69"/>
      <c r="G208" s="69"/>
      <c r="H208" s="69"/>
      <c r="I208" s="69"/>
      <c r="J208" s="69"/>
      <c r="K208" s="69"/>
      <c r="L208" s="62"/>
    </row>
    <row r="209" spans="2:12" x14ac:dyDescent="0.15">
      <c r="B209" s="58"/>
      <c r="D209" s="69"/>
      <c r="E209" s="69"/>
      <c r="F209" s="69"/>
      <c r="G209" s="69"/>
      <c r="H209" s="69"/>
      <c r="I209" s="69"/>
      <c r="J209" s="69"/>
      <c r="K209" s="69"/>
      <c r="L209" s="62"/>
    </row>
    <row r="210" spans="2:12" x14ac:dyDescent="0.15">
      <c r="B210" s="58"/>
      <c r="D210" s="69"/>
      <c r="E210" s="69"/>
      <c r="F210" s="69"/>
      <c r="G210" s="69"/>
      <c r="H210" s="69"/>
      <c r="I210" s="69"/>
      <c r="J210" s="69"/>
      <c r="K210" s="69"/>
      <c r="L210" s="62"/>
    </row>
    <row r="211" spans="2:12" x14ac:dyDescent="0.15">
      <c r="B211" s="58"/>
      <c r="D211" s="69"/>
      <c r="E211" s="69"/>
      <c r="F211" s="69"/>
      <c r="G211" s="69"/>
      <c r="H211" s="69"/>
      <c r="I211" s="69"/>
      <c r="J211" s="69"/>
      <c r="K211" s="69"/>
      <c r="L211" s="62"/>
    </row>
    <row r="212" spans="2:12" x14ac:dyDescent="0.15">
      <c r="B212" s="58"/>
      <c r="D212" s="69"/>
      <c r="E212" s="69"/>
      <c r="F212" s="69"/>
      <c r="G212" s="69"/>
      <c r="H212" s="69"/>
      <c r="I212" s="69"/>
      <c r="J212" s="69"/>
      <c r="K212" s="69"/>
      <c r="L212" s="62"/>
    </row>
    <row r="213" spans="2:12" x14ac:dyDescent="0.15">
      <c r="B213" s="58"/>
      <c r="D213" s="69"/>
      <c r="E213" s="69"/>
      <c r="F213" s="69"/>
      <c r="G213" s="69"/>
      <c r="H213" s="69"/>
      <c r="I213" s="69"/>
      <c r="J213" s="69"/>
      <c r="K213" s="69"/>
      <c r="L213" s="62"/>
    </row>
    <row r="214" spans="2:12" x14ac:dyDescent="0.15">
      <c r="B214" s="58"/>
      <c r="D214" s="69"/>
      <c r="E214" s="69"/>
      <c r="F214" s="69"/>
      <c r="G214" s="69"/>
      <c r="H214" s="69"/>
      <c r="I214" s="69"/>
      <c r="J214" s="69"/>
      <c r="K214" s="69"/>
      <c r="L214" s="62"/>
    </row>
    <row r="215" spans="2:12" x14ac:dyDescent="0.15">
      <c r="B215" s="58"/>
      <c r="D215" s="69"/>
      <c r="E215" s="69"/>
      <c r="F215" s="69"/>
      <c r="G215" s="69"/>
      <c r="H215" s="69"/>
      <c r="I215" s="69"/>
      <c r="J215" s="69"/>
      <c r="K215" s="69"/>
      <c r="L215" s="62"/>
    </row>
    <row r="216" spans="2:12" x14ac:dyDescent="0.15">
      <c r="B216" s="58"/>
      <c r="D216" s="69"/>
      <c r="E216" s="69"/>
      <c r="F216" s="69"/>
      <c r="G216" s="69"/>
      <c r="H216" s="69"/>
      <c r="I216" s="69"/>
      <c r="J216" s="69"/>
      <c r="K216" s="69"/>
      <c r="L216" s="62"/>
    </row>
    <row r="217" spans="2:12" x14ac:dyDescent="0.15">
      <c r="B217" s="58"/>
      <c r="D217" s="69"/>
      <c r="E217" s="69"/>
      <c r="F217" s="69"/>
      <c r="G217" s="69"/>
      <c r="H217" s="69"/>
      <c r="I217" s="69"/>
      <c r="J217" s="69"/>
      <c r="K217" s="69"/>
      <c r="L217" s="62"/>
    </row>
    <row r="218" spans="2:12" x14ac:dyDescent="0.15">
      <c r="B218" s="58"/>
      <c r="D218" s="69"/>
      <c r="E218" s="69"/>
      <c r="F218" s="69"/>
      <c r="G218" s="69"/>
      <c r="H218" s="69"/>
      <c r="I218" s="69"/>
      <c r="J218" s="69"/>
      <c r="K218" s="69"/>
      <c r="L218" s="62"/>
    </row>
    <row r="219" spans="2:12" x14ac:dyDescent="0.15">
      <c r="B219" s="58"/>
      <c r="D219" s="69"/>
      <c r="E219" s="69"/>
      <c r="F219" s="69"/>
      <c r="G219" s="69"/>
      <c r="H219" s="69"/>
      <c r="I219" s="69"/>
      <c r="J219" s="69"/>
      <c r="K219" s="69"/>
    </row>
    <row r="220" spans="2:12" x14ac:dyDescent="0.15">
      <c r="B220" s="58"/>
      <c r="D220" s="69"/>
      <c r="E220" s="69"/>
      <c r="F220" s="69"/>
      <c r="G220" s="69"/>
      <c r="H220" s="69"/>
      <c r="I220" s="69"/>
      <c r="J220" s="69"/>
      <c r="K220" s="69"/>
    </row>
    <row r="221" spans="2:12" x14ac:dyDescent="0.15">
      <c r="B221" s="58"/>
      <c r="D221" s="69"/>
      <c r="E221" s="69"/>
      <c r="F221" s="69"/>
      <c r="G221" s="69"/>
      <c r="H221" s="69"/>
      <c r="I221" s="69"/>
      <c r="J221" s="69"/>
      <c r="K221" s="69"/>
    </row>
    <row r="222" spans="2:12" x14ac:dyDescent="0.15">
      <c r="B222" s="58"/>
      <c r="D222" s="69"/>
      <c r="E222" s="69"/>
      <c r="F222" s="69"/>
      <c r="G222" s="69"/>
      <c r="H222" s="69"/>
      <c r="I222" s="69"/>
      <c r="J222" s="69"/>
      <c r="K222" s="69"/>
    </row>
    <row r="223" spans="2:12" x14ac:dyDescent="0.15">
      <c r="B223" s="58"/>
      <c r="D223" s="69"/>
      <c r="E223" s="69"/>
      <c r="F223" s="69"/>
      <c r="G223" s="69"/>
      <c r="H223" s="69"/>
      <c r="I223" s="69"/>
      <c r="J223" s="69"/>
      <c r="K223" s="69"/>
    </row>
    <row r="224" spans="2:12" x14ac:dyDescent="0.15">
      <c r="B224" s="58"/>
      <c r="D224" s="69"/>
      <c r="E224" s="69"/>
      <c r="F224" s="69"/>
      <c r="G224" s="69"/>
      <c r="H224" s="69"/>
      <c r="I224" s="69"/>
      <c r="J224" s="69"/>
      <c r="K224" s="69"/>
    </row>
    <row r="225" spans="2:11" x14ac:dyDescent="0.15">
      <c r="B225" s="58"/>
      <c r="D225" s="69"/>
      <c r="E225" s="69"/>
      <c r="F225" s="69"/>
      <c r="G225" s="69"/>
      <c r="H225" s="69"/>
      <c r="I225" s="69"/>
      <c r="J225" s="69"/>
      <c r="K225" s="69"/>
    </row>
    <row r="226" spans="2:11" x14ac:dyDescent="0.15">
      <c r="B226" s="58"/>
      <c r="D226" s="69"/>
      <c r="E226" s="69"/>
      <c r="F226" s="69"/>
      <c r="G226" s="69"/>
      <c r="H226" s="69"/>
      <c r="I226" s="69"/>
      <c r="J226" s="69"/>
      <c r="K226" s="69"/>
    </row>
    <row r="227" spans="2:11" x14ac:dyDescent="0.15">
      <c r="B227" s="58"/>
      <c r="D227" s="69"/>
      <c r="E227" s="69"/>
      <c r="F227" s="69"/>
      <c r="G227" s="69"/>
      <c r="H227" s="69"/>
      <c r="I227" s="69"/>
      <c r="J227" s="69"/>
      <c r="K227" s="69"/>
    </row>
    <row r="228" spans="2:11" x14ac:dyDescent="0.15">
      <c r="B228" s="58"/>
      <c r="D228" s="69"/>
      <c r="E228" s="69"/>
      <c r="F228" s="69"/>
      <c r="G228" s="69"/>
      <c r="H228" s="69"/>
      <c r="I228" s="69"/>
      <c r="J228" s="69"/>
      <c r="K228" s="69"/>
    </row>
    <row r="229" spans="2:11" x14ac:dyDescent="0.15">
      <c r="B229" s="58"/>
      <c r="D229" s="69"/>
      <c r="E229" s="69"/>
      <c r="F229" s="69"/>
      <c r="G229" s="69"/>
      <c r="H229" s="69"/>
      <c r="I229" s="69"/>
      <c r="J229" s="69"/>
      <c r="K229" s="69"/>
    </row>
    <row r="230" spans="2:11" x14ac:dyDescent="0.15">
      <c r="B230" s="58"/>
      <c r="D230" s="69"/>
      <c r="E230" s="69"/>
      <c r="F230" s="69"/>
      <c r="G230" s="69"/>
      <c r="H230" s="69"/>
      <c r="I230" s="69"/>
      <c r="J230" s="69"/>
      <c r="K230" s="69"/>
    </row>
    <row r="231" spans="2:11" x14ac:dyDescent="0.15">
      <c r="B231" s="58"/>
      <c r="D231" s="69"/>
      <c r="E231" s="69"/>
      <c r="F231" s="69"/>
      <c r="G231" s="69"/>
      <c r="H231" s="69"/>
      <c r="I231" s="69"/>
      <c r="J231" s="69"/>
      <c r="K231" s="69"/>
    </row>
    <row r="232" spans="2:11" x14ac:dyDescent="0.15">
      <c r="B232" s="58"/>
      <c r="D232" s="69"/>
      <c r="E232" s="69"/>
      <c r="F232" s="69"/>
      <c r="G232" s="69"/>
      <c r="H232" s="69"/>
      <c r="I232" s="69"/>
      <c r="J232" s="69"/>
      <c r="K232" s="69"/>
    </row>
    <row r="233" spans="2:11" x14ac:dyDescent="0.15">
      <c r="B233" s="58"/>
      <c r="D233" s="69"/>
      <c r="E233" s="69"/>
      <c r="F233" s="69"/>
      <c r="G233" s="69"/>
      <c r="H233" s="69"/>
      <c r="I233" s="69"/>
      <c r="J233" s="69"/>
      <c r="K233" s="69"/>
    </row>
    <row r="234" spans="2:11" x14ac:dyDescent="0.15">
      <c r="B234" s="58"/>
      <c r="D234" s="69"/>
      <c r="E234" s="69"/>
      <c r="F234" s="69"/>
      <c r="G234" s="69"/>
      <c r="H234" s="69"/>
      <c r="I234" s="69"/>
      <c r="J234" s="69"/>
      <c r="K234" s="69"/>
    </row>
    <row r="235" spans="2:11" x14ac:dyDescent="0.15">
      <c r="B235" s="58"/>
      <c r="D235" s="69"/>
      <c r="E235" s="69"/>
      <c r="F235" s="69"/>
      <c r="G235" s="69"/>
      <c r="H235" s="69"/>
      <c r="I235" s="69"/>
      <c r="J235" s="69"/>
      <c r="K235" s="69"/>
    </row>
    <row r="236" spans="2:11" x14ac:dyDescent="0.15">
      <c r="B236" s="58"/>
      <c r="D236" s="69"/>
      <c r="E236" s="69"/>
      <c r="F236" s="69"/>
      <c r="G236" s="69"/>
      <c r="H236" s="69"/>
      <c r="I236" s="69"/>
      <c r="J236" s="69"/>
      <c r="K236" s="69"/>
    </row>
    <row r="237" spans="2:11" x14ac:dyDescent="0.15">
      <c r="B237" s="58"/>
      <c r="D237" s="69"/>
      <c r="E237" s="69"/>
      <c r="F237" s="69"/>
      <c r="G237" s="69"/>
      <c r="H237" s="69"/>
      <c r="I237" s="69"/>
      <c r="J237" s="69"/>
      <c r="K237" s="69"/>
    </row>
    <row r="238" spans="2:11" x14ac:dyDescent="0.15">
      <c r="B238" s="58"/>
      <c r="D238" s="69"/>
      <c r="E238" s="69"/>
      <c r="F238" s="69"/>
      <c r="G238" s="69"/>
      <c r="H238" s="69"/>
      <c r="I238" s="69"/>
      <c r="J238" s="69"/>
      <c r="K238" s="69"/>
    </row>
    <row r="239" spans="2:11" x14ac:dyDescent="0.15">
      <c r="B239" s="58"/>
      <c r="D239" s="69"/>
      <c r="E239" s="69"/>
      <c r="F239" s="69"/>
      <c r="G239" s="69"/>
      <c r="H239" s="69"/>
      <c r="I239" s="69"/>
      <c r="J239" s="69"/>
      <c r="K239" s="69"/>
    </row>
    <row r="240" spans="2:11" x14ac:dyDescent="0.15">
      <c r="B240" s="58"/>
      <c r="D240" s="69"/>
      <c r="E240" s="69"/>
      <c r="F240" s="69"/>
      <c r="G240" s="69"/>
      <c r="H240" s="69"/>
      <c r="I240" s="69"/>
      <c r="J240" s="69"/>
      <c r="K240" s="69"/>
    </row>
    <row r="241" spans="2:11" x14ac:dyDescent="0.15">
      <c r="B241" s="58"/>
      <c r="D241" s="69"/>
      <c r="E241" s="69"/>
      <c r="F241" s="69"/>
      <c r="G241" s="69"/>
      <c r="H241" s="69"/>
      <c r="I241" s="69"/>
      <c r="J241" s="69"/>
      <c r="K241" s="69"/>
    </row>
    <row r="242" spans="2:11" x14ac:dyDescent="0.15">
      <c r="B242" s="58"/>
      <c r="D242" s="69"/>
      <c r="E242" s="69"/>
      <c r="F242" s="69"/>
      <c r="G242" s="69"/>
      <c r="H242" s="69"/>
      <c r="I242" s="69"/>
      <c r="J242" s="69"/>
      <c r="K242" s="69"/>
    </row>
    <row r="243" spans="2:11" x14ac:dyDescent="0.15">
      <c r="B243" s="58"/>
      <c r="D243" s="69"/>
      <c r="E243" s="69"/>
      <c r="F243" s="69"/>
      <c r="G243" s="69"/>
      <c r="H243" s="69"/>
      <c r="I243" s="69"/>
      <c r="J243" s="69"/>
      <c r="K243" s="69"/>
    </row>
    <row r="244" spans="2:11" x14ac:dyDescent="0.15">
      <c r="B244" s="58"/>
      <c r="D244" s="69"/>
      <c r="E244" s="69"/>
      <c r="F244" s="69"/>
      <c r="G244" s="69"/>
      <c r="H244" s="69"/>
      <c r="I244" s="69"/>
      <c r="J244" s="69"/>
      <c r="K244" s="69"/>
    </row>
    <row r="245" spans="2:11" x14ac:dyDescent="0.15">
      <c r="B245" s="58"/>
      <c r="D245" s="69"/>
      <c r="E245" s="69"/>
      <c r="F245" s="69"/>
      <c r="G245" s="69"/>
      <c r="H245" s="69"/>
      <c r="I245" s="69"/>
      <c r="J245" s="69"/>
      <c r="K245" s="69"/>
    </row>
    <row r="246" spans="2:11" x14ac:dyDescent="0.15">
      <c r="B246" s="58"/>
      <c r="D246" s="69"/>
      <c r="E246" s="69"/>
      <c r="F246" s="69"/>
      <c r="G246" s="69"/>
      <c r="H246" s="69"/>
      <c r="I246" s="69"/>
      <c r="J246" s="69"/>
      <c r="K246" s="69"/>
    </row>
    <row r="247" spans="2:11" x14ac:dyDescent="0.15">
      <c r="B247" s="58"/>
      <c r="D247" s="69"/>
      <c r="E247" s="69"/>
      <c r="F247" s="69"/>
      <c r="G247" s="69"/>
      <c r="H247" s="69"/>
      <c r="I247" s="69"/>
      <c r="J247" s="69"/>
      <c r="K247" s="69"/>
    </row>
    <row r="248" spans="2:11" x14ac:dyDescent="0.15">
      <c r="B248" s="58"/>
      <c r="D248" s="69"/>
      <c r="E248" s="69"/>
      <c r="F248" s="69"/>
      <c r="G248" s="69"/>
      <c r="H248" s="69"/>
      <c r="I248" s="69"/>
      <c r="J248" s="69"/>
      <c r="K248" s="69"/>
    </row>
    <row r="249" spans="2:11" x14ac:dyDescent="0.15">
      <c r="B249" s="58"/>
      <c r="D249" s="69"/>
      <c r="E249" s="69"/>
      <c r="F249" s="69"/>
      <c r="G249" s="69"/>
      <c r="H249" s="69"/>
      <c r="I249" s="69"/>
      <c r="J249" s="69"/>
      <c r="K249" s="69"/>
    </row>
    <row r="250" spans="2:11" x14ac:dyDescent="0.15">
      <c r="B250" s="58"/>
      <c r="D250" s="69"/>
      <c r="E250" s="69"/>
      <c r="F250" s="69"/>
      <c r="G250" s="69"/>
      <c r="H250" s="69"/>
      <c r="I250" s="69"/>
      <c r="J250" s="69"/>
      <c r="K250" s="69"/>
    </row>
    <row r="251" spans="2:11" x14ac:dyDescent="0.15">
      <c r="B251" s="58"/>
      <c r="D251" s="69"/>
      <c r="E251" s="69"/>
      <c r="F251" s="69"/>
      <c r="G251" s="69"/>
      <c r="H251" s="69"/>
      <c r="I251" s="69"/>
      <c r="J251" s="69"/>
      <c r="K251" s="69"/>
    </row>
    <row r="252" spans="2:11" x14ac:dyDescent="0.15">
      <c r="B252" s="58"/>
      <c r="D252" s="69"/>
      <c r="E252" s="69"/>
      <c r="F252" s="69"/>
      <c r="G252" s="69"/>
      <c r="H252" s="69"/>
      <c r="I252" s="69"/>
      <c r="J252" s="69"/>
      <c r="K252" s="69"/>
    </row>
    <row r="253" spans="2:11" x14ac:dyDescent="0.15">
      <c r="B253" s="58"/>
      <c r="D253" s="69"/>
      <c r="E253" s="69"/>
      <c r="F253" s="69"/>
      <c r="G253" s="69"/>
      <c r="H253" s="69"/>
      <c r="I253" s="69"/>
      <c r="J253" s="69"/>
      <c r="K253" s="69"/>
    </row>
    <row r="254" spans="2:11" x14ac:dyDescent="0.15">
      <c r="B254" s="58"/>
      <c r="D254" s="69"/>
      <c r="E254" s="69"/>
      <c r="F254" s="69"/>
      <c r="G254" s="69"/>
      <c r="H254" s="69"/>
      <c r="I254" s="69"/>
      <c r="J254" s="69"/>
      <c r="K254" s="69"/>
    </row>
    <row r="255" spans="2:11" x14ac:dyDescent="0.15">
      <c r="B255" s="58"/>
      <c r="D255" s="69"/>
      <c r="E255" s="69"/>
      <c r="F255" s="69"/>
      <c r="G255" s="69"/>
      <c r="H255" s="69"/>
      <c r="I255" s="69"/>
      <c r="J255" s="69"/>
      <c r="K255" s="69"/>
    </row>
    <row r="256" spans="2:11" x14ac:dyDescent="0.15">
      <c r="B256" s="58"/>
      <c r="D256" s="69"/>
      <c r="E256" s="69"/>
      <c r="F256" s="69"/>
      <c r="G256" s="69"/>
      <c r="H256" s="69"/>
      <c r="I256" s="69"/>
      <c r="J256" s="69"/>
      <c r="K256" s="69"/>
    </row>
    <row r="257" spans="2:11" x14ac:dyDescent="0.15">
      <c r="B257" s="58"/>
      <c r="D257" s="69"/>
      <c r="E257" s="69"/>
      <c r="F257" s="69"/>
      <c r="G257" s="69"/>
      <c r="H257" s="69"/>
      <c r="I257" s="69"/>
      <c r="J257" s="69"/>
      <c r="K257" s="69"/>
    </row>
    <row r="258" spans="2:11" x14ac:dyDescent="0.15">
      <c r="B258" s="58"/>
      <c r="D258" s="69"/>
      <c r="E258" s="69"/>
      <c r="F258" s="69"/>
      <c r="G258" s="69"/>
      <c r="H258" s="69"/>
      <c r="I258" s="69"/>
      <c r="J258" s="69"/>
      <c r="K258" s="69"/>
    </row>
    <row r="259" spans="2:11" x14ac:dyDescent="0.15">
      <c r="B259" s="58"/>
      <c r="D259" s="69"/>
      <c r="E259" s="69"/>
      <c r="F259" s="69"/>
      <c r="G259" s="69"/>
      <c r="H259" s="69"/>
      <c r="I259" s="69"/>
      <c r="J259" s="69"/>
      <c r="K259" s="69"/>
    </row>
    <row r="260" spans="2:11" x14ac:dyDescent="0.15">
      <c r="B260" s="58"/>
      <c r="D260" s="69"/>
      <c r="E260" s="69"/>
      <c r="F260" s="69"/>
      <c r="G260" s="69"/>
      <c r="H260" s="69"/>
      <c r="I260" s="69"/>
      <c r="J260" s="69"/>
      <c r="K260" s="69"/>
    </row>
    <row r="261" spans="2:11" x14ac:dyDescent="0.15">
      <c r="B261" s="58"/>
      <c r="D261" s="69"/>
      <c r="E261" s="69"/>
      <c r="F261" s="69"/>
      <c r="G261" s="69"/>
      <c r="H261" s="69"/>
      <c r="I261" s="69"/>
      <c r="J261" s="69"/>
      <c r="K261" s="69"/>
    </row>
    <row r="262" spans="2:11" x14ac:dyDescent="0.15">
      <c r="B262" s="58"/>
      <c r="D262" s="69"/>
      <c r="E262" s="69"/>
      <c r="F262" s="69"/>
      <c r="G262" s="69"/>
      <c r="H262" s="69"/>
      <c r="I262" s="69"/>
      <c r="J262" s="69"/>
      <c r="K262" s="69"/>
    </row>
    <row r="263" spans="2:11" x14ac:dyDescent="0.15">
      <c r="B263" s="58"/>
      <c r="D263" s="69"/>
      <c r="E263" s="69"/>
      <c r="F263" s="69"/>
      <c r="G263" s="69"/>
      <c r="H263" s="69"/>
      <c r="I263" s="69"/>
      <c r="J263" s="69"/>
      <c r="K263" s="69"/>
    </row>
    <row r="264" spans="2:11" x14ac:dyDescent="0.15">
      <c r="B264" s="58"/>
      <c r="D264" s="69"/>
      <c r="E264" s="69"/>
      <c r="F264" s="69"/>
      <c r="G264" s="69"/>
      <c r="H264" s="69"/>
      <c r="I264" s="69"/>
      <c r="J264" s="69"/>
      <c r="K264" s="69"/>
    </row>
    <row r="265" spans="2:11" x14ac:dyDescent="0.15">
      <c r="B265" s="58"/>
      <c r="D265" s="69"/>
      <c r="E265" s="69"/>
      <c r="F265" s="69"/>
      <c r="G265" s="69"/>
      <c r="H265" s="69"/>
      <c r="I265" s="69"/>
      <c r="J265" s="69"/>
      <c r="K265" s="69"/>
    </row>
    <row r="266" spans="2:11" x14ac:dyDescent="0.15">
      <c r="B266" s="58"/>
      <c r="D266" s="69"/>
      <c r="E266" s="69"/>
      <c r="F266" s="69"/>
      <c r="G266" s="69"/>
      <c r="H266" s="69"/>
      <c r="I266" s="69"/>
      <c r="J266" s="69"/>
      <c r="K266" s="69"/>
    </row>
    <row r="267" spans="2:11" x14ac:dyDescent="0.15">
      <c r="B267" s="58"/>
      <c r="D267" s="69"/>
      <c r="E267" s="69"/>
      <c r="F267" s="69"/>
      <c r="G267" s="69"/>
      <c r="H267" s="69"/>
      <c r="I267" s="69"/>
      <c r="J267" s="69"/>
      <c r="K267" s="69"/>
    </row>
    <row r="268" spans="2:11" x14ac:dyDescent="0.15">
      <c r="B268" s="58"/>
      <c r="D268" s="69"/>
      <c r="E268" s="69"/>
      <c r="F268" s="69"/>
      <c r="G268" s="69"/>
      <c r="H268" s="69"/>
      <c r="I268" s="69"/>
      <c r="J268" s="69"/>
      <c r="K268" s="69"/>
    </row>
    <row r="269" spans="2:11" x14ac:dyDescent="0.15">
      <c r="B269" s="58"/>
      <c r="D269" s="69"/>
      <c r="E269" s="69"/>
      <c r="F269" s="69"/>
      <c r="G269" s="69"/>
      <c r="H269" s="69"/>
      <c r="I269" s="69"/>
      <c r="J269" s="69"/>
      <c r="K269" s="69"/>
    </row>
    <row r="270" spans="2:11" x14ac:dyDescent="0.15">
      <c r="B270" s="58"/>
      <c r="D270" s="69"/>
      <c r="E270" s="69"/>
      <c r="F270" s="69"/>
      <c r="G270" s="69"/>
      <c r="H270" s="69"/>
      <c r="I270" s="69"/>
      <c r="J270" s="69"/>
      <c r="K270" s="69"/>
    </row>
    <row r="271" spans="2:11" x14ac:dyDescent="0.15">
      <c r="B271" s="58"/>
      <c r="D271" s="69"/>
      <c r="E271" s="69"/>
      <c r="F271" s="69"/>
      <c r="G271" s="69"/>
      <c r="H271" s="69"/>
      <c r="I271" s="69"/>
      <c r="J271" s="69"/>
      <c r="K271" s="69"/>
    </row>
    <row r="272" spans="2:11" x14ac:dyDescent="0.15">
      <c r="B272" s="58"/>
      <c r="D272" s="69"/>
      <c r="E272" s="69"/>
      <c r="F272" s="69"/>
      <c r="G272" s="69"/>
      <c r="H272" s="69"/>
      <c r="I272" s="69"/>
      <c r="J272" s="69"/>
      <c r="K272" s="69"/>
    </row>
    <row r="273" spans="2:11" x14ac:dyDescent="0.15">
      <c r="B273" s="58"/>
      <c r="D273" s="69"/>
      <c r="E273" s="69"/>
      <c r="F273" s="69"/>
      <c r="G273" s="69"/>
      <c r="H273" s="69"/>
      <c r="I273" s="69"/>
      <c r="J273" s="69"/>
      <c r="K273" s="69"/>
    </row>
    <row r="274" spans="2:11" x14ac:dyDescent="0.15">
      <c r="B274" s="58"/>
      <c r="D274" s="69"/>
      <c r="E274" s="69"/>
      <c r="F274" s="69"/>
      <c r="G274" s="69"/>
      <c r="H274" s="69"/>
      <c r="I274" s="69"/>
      <c r="J274" s="69"/>
      <c r="K274" s="69"/>
    </row>
    <row r="275" spans="2:11" x14ac:dyDescent="0.15">
      <c r="B275" s="58"/>
      <c r="D275" s="69"/>
      <c r="E275" s="69"/>
      <c r="F275" s="69"/>
      <c r="G275" s="69"/>
      <c r="H275" s="69"/>
      <c r="I275" s="69"/>
      <c r="J275" s="69"/>
      <c r="K275" s="69"/>
    </row>
    <row r="276" spans="2:11" x14ac:dyDescent="0.15">
      <c r="B276" s="58"/>
      <c r="D276" s="69"/>
      <c r="E276" s="69"/>
      <c r="F276" s="69"/>
      <c r="G276" s="69"/>
      <c r="H276" s="69"/>
      <c r="I276" s="69"/>
      <c r="J276" s="69"/>
      <c r="K276" s="69"/>
    </row>
    <row r="277" spans="2:11" x14ac:dyDescent="0.15">
      <c r="B277" s="58"/>
      <c r="D277" s="69"/>
      <c r="E277" s="69"/>
      <c r="F277" s="69"/>
      <c r="G277" s="69"/>
      <c r="H277" s="69"/>
      <c r="I277" s="69"/>
      <c r="J277" s="69"/>
      <c r="K277" s="69"/>
    </row>
    <row r="278" spans="2:11" x14ac:dyDescent="0.15">
      <c r="B278" s="58"/>
      <c r="D278" s="69"/>
      <c r="E278" s="69"/>
      <c r="F278" s="69"/>
      <c r="G278" s="69"/>
      <c r="H278" s="69"/>
      <c r="I278" s="69"/>
      <c r="J278" s="69"/>
      <c r="K278" s="69"/>
    </row>
    <row r="279" spans="2:11" x14ac:dyDescent="0.15">
      <c r="B279" s="58"/>
      <c r="D279" s="69"/>
      <c r="E279" s="69"/>
      <c r="F279" s="69"/>
      <c r="G279" s="69"/>
      <c r="H279" s="69"/>
      <c r="I279" s="69"/>
      <c r="J279" s="69"/>
      <c r="K279" s="69"/>
    </row>
    <row r="280" spans="2:11" x14ac:dyDescent="0.15">
      <c r="B280" s="58"/>
      <c r="D280" s="69"/>
      <c r="E280" s="69"/>
      <c r="F280" s="69"/>
      <c r="G280" s="69"/>
      <c r="H280" s="69"/>
      <c r="I280" s="69"/>
      <c r="J280" s="69"/>
      <c r="K280" s="69"/>
    </row>
    <row r="281" spans="2:11" x14ac:dyDescent="0.15">
      <c r="B281" s="58"/>
      <c r="D281" s="69"/>
      <c r="E281" s="69"/>
      <c r="F281" s="69"/>
      <c r="G281" s="69"/>
      <c r="H281" s="69"/>
      <c r="I281" s="69"/>
      <c r="J281" s="69"/>
      <c r="K281" s="69"/>
    </row>
    <row r="282" spans="2:11" x14ac:dyDescent="0.15">
      <c r="B282" s="58"/>
      <c r="D282" s="69"/>
      <c r="E282" s="69"/>
      <c r="F282" s="69"/>
      <c r="G282" s="69"/>
      <c r="H282" s="69"/>
      <c r="I282" s="69"/>
      <c r="J282" s="69"/>
      <c r="K282" s="69"/>
    </row>
    <row r="283" spans="2:11" x14ac:dyDescent="0.15">
      <c r="B283" s="58"/>
      <c r="D283" s="69"/>
      <c r="E283" s="69"/>
      <c r="F283" s="69"/>
      <c r="G283" s="69"/>
      <c r="H283" s="69"/>
      <c r="I283" s="69"/>
      <c r="J283" s="69"/>
      <c r="K283" s="69"/>
    </row>
    <row r="284" spans="2:11" x14ac:dyDescent="0.15">
      <c r="B284" s="58"/>
      <c r="D284" s="69"/>
      <c r="E284" s="69"/>
      <c r="F284" s="69"/>
      <c r="G284" s="69"/>
      <c r="H284" s="69"/>
      <c r="I284" s="69"/>
      <c r="J284" s="69"/>
      <c r="K284" s="69"/>
    </row>
    <row r="285" spans="2:11" x14ac:dyDescent="0.15">
      <c r="B285" s="58"/>
      <c r="D285" s="69"/>
      <c r="E285" s="69"/>
      <c r="F285" s="69"/>
      <c r="G285" s="69"/>
      <c r="H285" s="69"/>
      <c r="I285" s="69"/>
      <c r="J285" s="69"/>
      <c r="K285" s="69"/>
    </row>
    <row r="286" spans="2:11" x14ac:dyDescent="0.15">
      <c r="B286" s="58"/>
      <c r="D286" s="69"/>
      <c r="E286" s="69"/>
      <c r="F286" s="69"/>
      <c r="G286" s="69"/>
      <c r="H286" s="69"/>
      <c r="I286" s="69"/>
      <c r="J286" s="69"/>
      <c r="K286" s="69"/>
    </row>
    <row r="287" spans="2:11" x14ac:dyDescent="0.15">
      <c r="B287" s="58"/>
      <c r="D287" s="69"/>
      <c r="E287" s="69"/>
      <c r="F287" s="69"/>
      <c r="G287" s="69"/>
      <c r="H287" s="69"/>
      <c r="I287" s="69"/>
      <c r="J287" s="69"/>
      <c r="K287" s="69"/>
    </row>
    <row r="288" spans="2:11" x14ac:dyDescent="0.15">
      <c r="B288" s="58"/>
      <c r="D288" s="69"/>
      <c r="E288" s="69"/>
      <c r="F288" s="69"/>
      <c r="G288" s="69"/>
      <c r="H288" s="69"/>
      <c r="I288" s="69"/>
      <c r="J288" s="69"/>
      <c r="K288" s="69"/>
    </row>
    <row r="289" spans="2:11" x14ac:dyDescent="0.15">
      <c r="B289" s="58"/>
      <c r="D289" s="69"/>
      <c r="E289" s="69"/>
      <c r="F289" s="69"/>
      <c r="G289" s="69"/>
      <c r="H289" s="69"/>
      <c r="I289" s="69"/>
      <c r="J289" s="69"/>
      <c r="K289" s="69"/>
    </row>
    <row r="290" spans="2:11" x14ac:dyDescent="0.15">
      <c r="B290" s="58"/>
      <c r="D290" s="69"/>
      <c r="E290" s="69"/>
      <c r="F290" s="69"/>
      <c r="G290" s="69"/>
      <c r="H290" s="69"/>
      <c r="I290" s="69"/>
      <c r="J290" s="69"/>
      <c r="K290" s="69"/>
    </row>
    <row r="291" spans="2:11" x14ac:dyDescent="0.15">
      <c r="B291" s="58"/>
      <c r="D291" s="69"/>
      <c r="E291" s="69"/>
      <c r="F291" s="69"/>
      <c r="G291" s="69"/>
      <c r="H291" s="69"/>
      <c r="I291" s="69"/>
      <c r="J291" s="69"/>
      <c r="K291" s="69"/>
    </row>
    <row r="292" spans="2:11" x14ac:dyDescent="0.15">
      <c r="B292" s="58"/>
      <c r="D292" s="69"/>
      <c r="E292" s="69"/>
      <c r="F292" s="69"/>
      <c r="G292" s="69"/>
      <c r="H292" s="69"/>
      <c r="I292" s="69"/>
      <c r="J292" s="69"/>
      <c r="K292" s="69"/>
    </row>
    <row r="293" spans="2:11" x14ac:dyDescent="0.15">
      <c r="B293" s="58"/>
      <c r="D293" s="69"/>
      <c r="E293" s="69"/>
      <c r="F293" s="69"/>
      <c r="G293" s="69"/>
      <c r="H293" s="69"/>
      <c r="I293" s="69"/>
      <c r="J293" s="69"/>
      <c r="K293" s="69"/>
    </row>
    <row r="294" spans="2:11" x14ac:dyDescent="0.15">
      <c r="B294" s="58"/>
      <c r="D294" s="69"/>
      <c r="E294" s="69"/>
      <c r="F294" s="69"/>
      <c r="G294" s="69"/>
      <c r="H294" s="69"/>
      <c r="I294" s="69"/>
      <c r="J294" s="69"/>
      <c r="K294" s="69"/>
    </row>
    <row r="295" spans="2:11" x14ac:dyDescent="0.15">
      <c r="B295" s="58"/>
      <c r="D295" s="69"/>
      <c r="E295" s="69"/>
      <c r="F295" s="69"/>
      <c r="G295" s="69"/>
      <c r="H295" s="69"/>
      <c r="I295" s="69"/>
      <c r="J295" s="69"/>
      <c r="K295" s="69"/>
    </row>
    <row r="296" spans="2:11" x14ac:dyDescent="0.15">
      <c r="B296" s="58"/>
      <c r="D296" s="69"/>
      <c r="E296" s="69"/>
      <c r="F296" s="69"/>
      <c r="G296" s="69"/>
      <c r="H296" s="69"/>
      <c r="I296" s="69"/>
      <c r="J296" s="69"/>
      <c r="K296" s="69"/>
    </row>
    <row r="297" spans="2:11" x14ac:dyDescent="0.15">
      <c r="B297" s="58"/>
      <c r="D297" s="69"/>
      <c r="E297" s="69"/>
      <c r="F297" s="69"/>
      <c r="G297" s="69"/>
      <c r="H297" s="69"/>
      <c r="I297" s="69"/>
      <c r="J297" s="69"/>
      <c r="K297" s="69"/>
    </row>
    <row r="298" spans="2:11" x14ac:dyDescent="0.15">
      <c r="B298" s="58"/>
      <c r="D298" s="69"/>
      <c r="E298" s="69"/>
      <c r="F298" s="69"/>
      <c r="G298" s="69"/>
      <c r="H298" s="69"/>
      <c r="I298" s="69"/>
      <c r="J298" s="69"/>
      <c r="K298" s="69"/>
    </row>
    <row r="299" spans="2:11" x14ac:dyDescent="0.15">
      <c r="B299" s="58"/>
      <c r="D299" s="69"/>
      <c r="E299" s="69"/>
      <c r="F299" s="69"/>
      <c r="G299" s="69"/>
      <c r="H299" s="69"/>
      <c r="I299" s="69"/>
      <c r="J299" s="69"/>
      <c r="K299" s="69"/>
    </row>
    <row r="300" spans="2:11" x14ac:dyDescent="0.15">
      <c r="B300" s="58"/>
      <c r="D300" s="69"/>
      <c r="E300" s="69"/>
      <c r="F300" s="69"/>
      <c r="G300" s="69"/>
      <c r="H300" s="69"/>
      <c r="I300" s="69"/>
      <c r="J300" s="69"/>
      <c r="K300" s="69"/>
    </row>
  </sheetData>
  <sheetProtection selectLockedCells="1"/>
  <mergeCells count="10">
    <mergeCell ref="D8:I8"/>
    <mergeCell ref="A1:C1"/>
    <mergeCell ref="A8:A9"/>
    <mergeCell ref="K8:K9"/>
    <mergeCell ref="J8:J9"/>
    <mergeCell ref="C8:C9"/>
    <mergeCell ref="B8:B9"/>
    <mergeCell ref="A4:B4"/>
    <mergeCell ref="D4:K4"/>
    <mergeCell ref="C3:J3"/>
  </mergeCells>
  <phoneticPr fontId="0" type="noConversion"/>
  <pageMargins left="0.54" right="0.46" top="0.57999999999999996" bottom="0.48" header="0.511811023622047" footer="0.3"/>
  <pageSetup paperSize="9" scale="59" fitToHeight="0" orientation="landscape" r:id="rId1"/>
  <headerFooter alignWithMargins="0">
    <oddFooter>Page &amp;P of &amp;N</oddFooter>
  </headerFooter>
  <rowBreaks count="2" manualBreakCount="2">
    <brk id="54" max="10" man="1"/>
    <brk id="7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5"/>
    <pageSetUpPr fitToPage="1"/>
  </sheetPr>
  <dimension ref="A1:K1313"/>
  <sheetViews>
    <sheetView view="pageBreakPreview" topLeftCell="A195" zoomScaleSheetLayoutView="100" workbookViewId="0">
      <selection activeCell="C21" sqref="C21"/>
    </sheetView>
  </sheetViews>
  <sheetFormatPr baseColWidth="10" defaultColWidth="8.83203125" defaultRowHeight="11" x14ac:dyDescent="0.15"/>
  <cols>
    <col min="1" max="1" width="65" style="2" customWidth="1"/>
    <col min="2" max="2" width="13.5" style="7" customWidth="1"/>
    <col min="3" max="3" width="13" style="198" bestFit="1" customWidth="1"/>
    <col min="4" max="4" width="13.33203125" style="2" bestFit="1" customWidth="1"/>
    <col min="5" max="5" width="12.5" style="2" customWidth="1"/>
    <col min="6" max="6" width="6.83203125" style="26" bestFit="1" customWidth="1"/>
    <col min="7" max="7" width="11.33203125" style="2" bestFit="1" customWidth="1"/>
    <col min="8" max="10" width="8.83203125" style="2"/>
    <col min="11" max="11" width="13.5" style="2" bestFit="1" customWidth="1"/>
    <col min="12" max="16384" width="8.83203125" style="2"/>
  </cols>
  <sheetData>
    <row r="1" spans="1:5" x14ac:dyDescent="0.15">
      <c r="B1" s="182">
        <v>6.2E-2</v>
      </c>
      <c r="C1" s="197">
        <v>0.06</v>
      </c>
      <c r="D1" s="28">
        <v>5.8000000000000003E-2</v>
      </c>
      <c r="E1" s="28">
        <v>5.8000000000000003E-2</v>
      </c>
    </row>
    <row r="2" spans="1:5" ht="28" x14ac:dyDescent="0.15">
      <c r="A2" s="266" t="s">
        <v>648</v>
      </c>
      <c r="B2" s="266"/>
      <c r="C2" s="267"/>
      <c r="D2" s="267"/>
      <c r="E2" s="151"/>
    </row>
    <row r="3" spans="1:5" ht="20" x14ac:dyDescent="0.2">
      <c r="A3" s="20"/>
      <c r="B3" s="183"/>
    </row>
    <row r="4" spans="1:5" ht="23" x14ac:dyDescent="0.25">
      <c r="A4" s="18" t="s">
        <v>207</v>
      </c>
      <c r="B4" s="183"/>
      <c r="C4" s="199"/>
      <c r="D4" s="49">
        <f ca="1">NOW()</f>
        <v>42983.720436111114</v>
      </c>
      <c r="E4" s="49"/>
    </row>
    <row r="5" spans="1:5" ht="18" x14ac:dyDescent="0.2">
      <c r="A5" s="17" t="s">
        <v>646</v>
      </c>
      <c r="B5" s="183"/>
    </row>
    <row r="6" spans="1:5" ht="18" x14ac:dyDescent="0.2">
      <c r="A6" s="17" t="s">
        <v>580</v>
      </c>
      <c r="B6" s="183"/>
    </row>
    <row r="7" spans="1:5" x14ac:dyDescent="0.15">
      <c r="B7" s="229"/>
      <c r="C7" s="200"/>
    </row>
    <row r="8" spans="1:5" x14ac:dyDescent="0.15">
      <c r="A8" s="1"/>
      <c r="B8" s="156" t="s">
        <v>245</v>
      </c>
      <c r="C8" s="200" t="s">
        <v>245</v>
      </c>
      <c r="D8" s="158" t="s">
        <v>245</v>
      </c>
      <c r="E8" s="158" t="s">
        <v>245</v>
      </c>
    </row>
    <row r="9" spans="1:5" x14ac:dyDescent="0.15">
      <c r="B9" s="184" t="s">
        <v>461</v>
      </c>
      <c r="C9" s="201" t="s">
        <v>583</v>
      </c>
      <c r="D9" s="159" t="s">
        <v>559</v>
      </c>
      <c r="E9" s="159" t="s">
        <v>581</v>
      </c>
    </row>
    <row r="10" spans="1:5" x14ac:dyDescent="0.15">
      <c r="B10" s="185"/>
    </row>
    <row r="11" spans="1:5" ht="16" x14ac:dyDescent="0.2">
      <c r="A11" s="14" t="s">
        <v>206</v>
      </c>
      <c r="B11" s="185"/>
    </row>
    <row r="12" spans="1:5" x14ac:dyDescent="0.15">
      <c r="B12" s="185"/>
    </row>
    <row r="13" spans="1:5" x14ac:dyDescent="0.15">
      <c r="A13" s="6" t="s">
        <v>246</v>
      </c>
    </row>
    <row r="14" spans="1:5" x14ac:dyDescent="0.15">
      <c r="A14" s="1"/>
    </row>
    <row r="15" spans="1:5" x14ac:dyDescent="0.15">
      <c r="A15" s="1" t="s">
        <v>197</v>
      </c>
      <c r="B15" s="126">
        <f>SUMIF($A$251:$A$1260,"SALARIES",B$251:B$1260)</f>
        <v>56400177</v>
      </c>
      <c r="C15" s="202">
        <f>SUMIF($A$251:$A$1260,"SALARIES",C$251:C$1260)</f>
        <v>60745810.230000004</v>
      </c>
      <c r="D15" s="7">
        <f>SUMIF($A$251:$A$1260,"SALARIES",D$251:D$1260)</f>
        <v>64269000</v>
      </c>
      <c r="E15" s="7">
        <f>SUMIF($A$251:$A$1260,"SALARIES",E$251:E$1260)</f>
        <v>67996700</v>
      </c>
    </row>
    <row r="16" spans="1:5" x14ac:dyDescent="0.15">
      <c r="A16" s="1" t="s">
        <v>231</v>
      </c>
      <c r="B16" s="126">
        <f>SUMIF($A$251:$A$1260,"BONUS",B$251:B$1260)</f>
        <v>4984887</v>
      </c>
      <c r="C16" s="202">
        <f>SUMIF($A$251:$A$1260,"BONUS",C$251:C$1260)</f>
        <v>5198102.5753000006</v>
      </c>
      <c r="D16" s="7">
        <f>SUMIF($A$251:$A$1260,"BONUS",D$251:D$1260)</f>
        <v>5499600</v>
      </c>
      <c r="E16" s="7">
        <f>SUMIF($A$251:$A$1260,"BONUS",E$251:E$1260)</f>
        <v>5818500</v>
      </c>
    </row>
    <row r="17" spans="1:5" x14ac:dyDescent="0.15">
      <c r="A17" s="1" t="s">
        <v>193</v>
      </c>
      <c r="B17" s="126">
        <f>SUMIF($A$251:$A$1260,"ACTING ALLOWANCE",B$251:B$1260)</f>
        <v>850000</v>
      </c>
      <c r="C17" s="202">
        <f>SUMIF($A$251:$A$1260,"ACTING ALLOWANCE",C$251:C$1260)</f>
        <v>850000</v>
      </c>
      <c r="D17" s="7">
        <f>SUMIF($A$251:$A$1260,"ACTING ALLOWANCE",D$251:D$1260)</f>
        <v>899200</v>
      </c>
      <c r="E17" s="7">
        <f>SUMIF($A$251:$A$1260,"ACTING ALLOWANCE",E$251:E$1260)</f>
        <v>951300</v>
      </c>
    </row>
    <row r="18" spans="1:5" x14ac:dyDescent="0.15">
      <c r="A18" s="1" t="s">
        <v>373</v>
      </c>
      <c r="B18" s="126">
        <f>SUMIF($A$251:$A$1260,"ALLOWANCE TELEPHONE",B$251:B$1260)</f>
        <v>0</v>
      </c>
      <c r="C18" s="202">
        <f>SUMIF($A$251:$A$1260,"ALLOWANCE TELEPHONE",C$251:C$1260)</f>
        <v>0</v>
      </c>
      <c r="D18" s="7">
        <f>SUMIF($A$251:$A$1260,"ALLOWANCE TELEPHONE",D$251:D$1260)</f>
        <v>0</v>
      </c>
      <c r="E18" s="7">
        <f>SUMIF($A$251:$A$1260,"ALLOWANCE TELEPHONE",E$251:E$1260)</f>
        <v>0</v>
      </c>
    </row>
    <row r="19" spans="1:5" x14ac:dyDescent="0.15">
      <c r="A19" s="1" t="s">
        <v>198</v>
      </c>
      <c r="B19" s="126">
        <f>SUMIF($A$251:$A$1260,"HOUSING ALLOWANCES",B$251:B$1260)</f>
        <v>1230480</v>
      </c>
      <c r="C19" s="202">
        <f>SUMIF($A$251:$A$1260,"HOUSING ALLOWANCES",C$251:C$1260)</f>
        <v>1294488</v>
      </c>
      <c r="D19" s="7">
        <f>SUMIF($A$251:$A$1260,"HOUSING ALLOWANCES",D$251:D$1260)</f>
        <v>1369500</v>
      </c>
      <c r="E19" s="7">
        <f>SUMIF($A$251:$A$1260,"HOUSING ALLOWANCES",E$251:E$1260)</f>
        <v>1448900</v>
      </c>
    </row>
    <row r="20" spans="1:5" x14ac:dyDescent="0.15">
      <c r="A20" s="1" t="s">
        <v>199</v>
      </c>
      <c r="B20" s="126">
        <f>SUMIF($A$251:$A$1260,"MEDICAL FUND COUNCIL CONTRIBUTION",B$251:B$1260)</f>
        <v>6399943</v>
      </c>
      <c r="C20" s="202">
        <f>SUMIF($A$251:$A$1260,"MEDICAL FUND COUNCIL CONTRIBUTION",C$251:C$1260)</f>
        <v>6824665.4399999995</v>
      </c>
      <c r="D20" s="7">
        <f>SUMIF($A$251:$A$1260,"MEDICAL FUND COUNCIL CONTRIBUTION",D$251:D$1260)</f>
        <v>7220600</v>
      </c>
      <c r="E20" s="7">
        <f>SUMIF($A$251:$A$1260,"MEDICAL FUND COUNCIL CONTRIBUTION",E$251:E$1260)</f>
        <v>7639400</v>
      </c>
    </row>
    <row r="21" spans="1:5" x14ac:dyDescent="0.15">
      <c r="A21" s="1" t="s">
        <v>200</v>
      </c>
      <c r="B21" s="126">
        <f>SUMIF($A$251:$A$1260,"OVERTIME",B$251:B$1260)</f>
        <v>828076</v>
      </c>
      <c r="C21" s="202">
        <f>SUMIF($A$251:$A$1260,"OVERTIME",C$251:C$1260)</f>
        <v>814268</v>
      </c>
      <c r="D21" s="7">
        <f>SUMIF($A$251:$A$1260,"OVERTIME",D$251:D$1260)</f>
        <v>861600</v>
      </c>
      <c r="E21" s="7">
        <f>SUMIF($A$251:$A$1260,"OVERTIME",E$251:E$1260)</f>
        <v>911500</v>
      </c>
    </row>
    <row r="22" spans="1:5" x14ac:dyDescent="0.15">
      <c r="A22" s="1" t="s">
        <v>169</v>
      </c>
      <c r="B22" s="126">
        <f>SUMIF($A$251:$A$1260,"PENSION FUND COUNCIL CONTRIBUTION",B$251:B$1260)</f>
        <v>11498117</v>
      </c>
      <c r="C22" s="202">
        <f>SUMIF($A$251:$A$1260,"PENSION FUND COUNCIL CONTRIBUTION",C$251:C$1260)</f>
        <v>12299351.6294</v>
      </c>
      <c r="D22" s="7">
        <f>SUMIF($A$251:$A$1260,"PENSION FUND COUNCIL CONTRIBUTION",D$251:D$1260)</f>
        <v>13012700</v>
      </c>
      <c r="E22" s="7">
        <f>SUMIF($A$251:$A$1260,"PENSION FUND COUNCIL CONTRIBUTION",E$251:E$1260)</f>
        <v>13767300</v>
      </c>
    </row>
    <row r="23" spans="1:5" x14ac:dyDescent="0.15">
      <c r="A23" s="1" t="s">
        <v>313</v>
      </c>
      <c r="B23" s="126">
        <f>SUMIF($A$251:$A$1260,"REDEMPTION OF LEAVE",B$251:B$1260)</f>
        <v>0</v>
      </c>
      <c r="C23" s="202">
        <f>SUMIF($A$251:$A$1260,"REDEMPTION OF LEAVE",C$251:C$1260)</f>
        <v>79515</v>
      </c>
      <c r="D23" s="7">
        <f>SUMIF($A$251:$A$1260,"REDEMPTION OF LEAVE",D$251:D$1260)</f>
        <v>11700</v>
      </c>
      <c r="E23" s="7">
        <f>SUMIF($A$251:$A$1260,"REDEMPTION OF LEAVE",E$251:E$1260)</f>
        <v>12400</v>
      </c>
    </row>
    <row r="24" spans="1:5" x14ac:dyDescent="0.15">
      <c r="A24" s="1" t="s">
        <v>201</v>
      </c>
      <c r="B24" s="126">
        <f>SUMIF($A$251:$A$1260,"TRAVELING ALLOWANCES",B$251:B$1260)</f>
        <v>11770728</v>
      </c>
      <c r="C24" s="202">
        <f>SUMIF($A$251:$A$1260,"TRAVELING ALLOWANCES",C$251:C$1260)</f>
        <v>14197560</v>
      </c>
      <c r="D24" s="7">
        <f>SUMIF($A$251:$A$1260,"TRAVELING ALLOWANCES",D$251:D$1260)</f>
        <v>15021100</v>
      </c>
      <c r="E24" s="7">
        <f>SUMIF($A$251:$A$1260,"TRAVELING ALLOWANCES",E$251:E$1260)</f>
        <v>15892400</v>
      </c>
    </row>
    <row r="25" spans="1:5" x14ac:dyDescent="0.15">
      <c r="A25" s="1" t="s">
        <v>202</v>
      </c>
      <c r="B25" s="126">
        <f>SUMIF($A$251:$A$1260,"UNEMPLOYMENT INSURANCE FUND",B$251:B$1260)</f>
        <v>228800</v>
      </c>
      <c r="C25" s="202">
        <f>SUMIF($A$251:$A$1260,"UNEMPLOYMENT INSURANCE FUND",C$251:C$1260)</f>
        <v>329557</v>
      </c>
      <c r="D25" s="7">
        <f>SUMIF($A$251:$A$1260,"UNEMPLOYMENT INSURANCE FUND",D$251:D$1260)</f>
        <v>348800</v>
      </c>
      <c r="E25" s="7">
        <f>SUMIF($A$251:$A$1260,"UNEMPLOYMENT INSURANCE FUND",E$251:E$1260)</f>
        <v>369000</v>
      </c>
    </row>
    <row r="26" spans="1:5" x14ac:dyDescent="0.15">
      <c r="A26" s="1" t="s">
        <v>203</v>
      </c>
      <c r="B26" s="126">
        <f>SUMIF($A$251:$A$1260,"S.A.R.S SKILLS LEVY",B$251:B$1260)</f>
        <v>648279</v>
      </c>
      <c r="C26" s="202">
        <f>SUMIF($A$251:$A$1260,"S.A.R.S SKILLS LEVY",C$251:C$1260)</f>
        <v>691152.65807500016</v>
      </c>
      <c r="D26" s="7">
        <f>SUMIF($A$251:$A$1260,"S.A.R.S SKILLS LEVY",D$251:D$1260)</f>
        <v>731100</v>
      </c>
      <c r="E26" s="7">
        <f>SUMIF($A$251:$A$1260,"S.A.R.S SKILLS LEVY",E$251:E$1260)</f>
        <v>773700</v>
      </c>
    </row>
    <row r="27" spans="1:5" x14ac:dyDescent="0.15">
      <c r="A27" s="1" t="s">
        <v>204</v>
      </c>
      <c r="B27" s="126">
        <f>SUMIF($A$251:$A$1260,"INDUSTRIAL LEVY",B$251:B$1260)</f>
        <v>8150</v>
      </c>
      <c r="C27" s="202">
        <f>SUMIF($A$251:$A$1260,"INDUSTRIAL LEVY",C$251:C$1260)</f>
        <v>14167</v>
      </c>
      <c r="D27" s="7">
        <f>SUMIF($A$251:$A$1260,"INDUSTRIAL LEVY",D$251:D$1260)</f>
        <v>15200</v>
      </c>
      <c r="E27" s="7">
        <f>SUMIF($A$251:$A$1260,"INDUSTRIAL LEVY",E$251:E$1260)</f>
        <v>15236</v>
      </c>
    </row>
    <row r="28" spans="1:5" x14ac:dyDescent="0.15">
      <c r="A28" s="1" t="s">
        <v>4</v>
      </c>
      <c r="B28" s="126">
        <f>SUMIF($A$251:$A$1260,"STAND-BY",B$251:B$1260)</f>
        <v>14900</v>
      </c>
      <c r="C28" s="202">
        <f>SUMIF($A$251:$A$1260,"STAND-BY",C$251:C$1260)</f>
        <v>14900</v>
      </c>
      <c r="D28" s="7">
        <f>SUMIF($A$251:$A$1260,"STAND-BY",D$251:D$1260)</f>
        <v>15700</v>
      </c>
      <c r="E28" s="7">
        <f>SUMIF($A$251:$A$1260,"STAND-BY",E$251:E$1260)</f>
        <v>16600</v>
      </c>
    </row>
    <row r="29" spans="1:5" x14ac:dyDescent="0.15">
      <c r="B29" s="126"/>
      <c r="C29" s="202"/>
      <c r="D29" s="126"/>
      <c r="E29" s="126"/>
    </row>
    <row r="30" spans="1:5" ht="12" thickBot="1" x14ac:dyDescent="0.2">
      <c r="A30" s="1" t="s">
        <v>247</v>
      </c>
      <c r="B30" s="138">
        <f>SUM(B15:B28)</f>
        <v>94862537</v>
      </c>
      <c r="C30" s="203">
        <f>SUM(C15:C28)</f>
        <v>103353537.532775</v>
      </c>
      <c r="D30" s="10">
        <f>SUM(D15:D28)</f>
        <v>109275800</v>
      </c>
      <c r="E30" s="10">
        <f>SUM(E15:E28)</f>
        <v>115612936</v>
      </c>
    </row>
    <row r="31" spans="1:5" ht="12" thickTop="1" x14ac:dyDescent="0.15">
      <c r="C31" s="202"/>
      <c r="D31" s="3"/>
      <c r="E31" s="3"/>
    </row>
    <row r="32" spans="1:5" x14ac:dyDescent="0.15">
      <c r="A32" s="48" t="s">
        <v>128</v>
      </c>
      <c r="C32" s="202"/>
      <c r="D32" s="3"/>
      <c r="E32" s="3"/>
    </row>
    <row r="33" spans="1:5" x14ac:dyDescent="0.15">
      <c r="A33" s="1"/>
      <c r="C33" s="202"/>
      <c r="D33" s="7"/>
      <c r="E33" s="7"/>
    </row>
    <row r="34" spans="1:5" x14ac:dyDescent="0.15">
      <c r="A34" s="1" t="s">
        <v>261</v>
      </c>
      <c r="B34" s="126">
        <f>SUMIF($A$251:$A$1260,"ALLOWANCES COUNCILLORS FIXED",B$251:B$1260)</f>
        <v>9429924</v>
      </c>
      <c r="C34" s="202">
        <f>SUMIF($A$251:$A$1260,"ALLOWANCES COUNCILLORS FIXED",C$251:C$1260)</f>
        <v>10090018.68</v>
      </c>
      <c r="D34" s="7">
        <f>SUMIF($A$251:$A$1260,"ALLOWANCES COUNCILLORS FIXED",D$251:D$1260)</f>
        <v>10675300</v>
      </c>
      <c r="E34" s="7">
        <f>SUMIF($A$251:$A$1260,"ALLOWANCES COUNCILLORS FIXED",E$251:E$1260)</f>
        <v>11294600</v>
      </c>
    </row>
    <row r="35" spans="1:5" x14ac:dyDescent="0.15">
      <c r="A35" s="1" t="s">
        <v>263</v>
      </c>
      <c r="B35" s="126">
        <f>SUMIF($A$251:$A$1260,"ALLOWANCES COUNCILLORS HOUSING",B$251:B$1260)</f>
        <v>224980</v>
      </c>
      <c r="C35" s="202">
        <f>SUMIF($A$251:$A$1260,"ALLOWANCES COUNCILLORS HOUSING",C$251:C$1260)</f>
        <v>240728.6</v>
      </c>
      <c r="D35" s="7">
        <f>SUMIF($A$251:$A$1260,"ALLOWANCES COUNCILLORS HOUSING",D$251:D$1260)</f>
        <v>254600</v>
      </c>
      <c r="E35" s="7">
        <f>SUMIF($A$251:$A$1260,"ALLOWANCES COUNCILLORS HOUSING",E$251:E$1260)</f>
        <v>269300</v>
      </c>
    </row>
    <row r="36" spans="1:5" x14ac:dyDescent="0.15">
      <c r="A36" s="1" t="s">
        <v>460</v>
      </c>
      <c r="B36" s="126">
        <f>SUMIF($A$251:$A$1260,"CONTRIBUTION TO UIF",B$251:B$1260)</f>
        <v>5513</v>
      </c>
      <c r="C36" s="202">
        <f>SUMIF($A$251:$A$1260,"CONTRIBUTION TO UIF",C$251:C$1260)</f>
        <v>0</v>
      </c>
      <c r="D36" s="172">
        <f>SUMIF($A$251:$A$1260,"CONTRIBUTION TO UIF",D$251:D$1260)</f>
        <v>0</v>
      </c>
      <c r="E36" s="172">
        <f>SUMIF($A$251:$A$1260,"CONTRIBUTION TO UIF",E$251:E$1260)</f>
        <v>0</v>
      </c>
    </row>
    <row r="37" spans="1:5" x14ac:dyDescent="0.15">
      <c r="A37" s="1" t="s">
        <v>262</v>
      </c>
      <c r="B37" s="126">
        <f>SUMIF($A$251:$A$1260,"ALLOWANCES COUNCILLORS TRAVEL",B$251:B$1260)</f>
        <v>3071035</v>
      </c>
      <c r="C37" s="202">
        <f>SUMIF($A$251:$A$1260,"ALLOWANCES COUNCILLORS TRAVEL",C$251:C$1260)</f>
        <v>3286007.45</v>
      </c>
      <c r="D37" s="7">
        <f>SUMIF($A$251:$A$1260,"ALLOWANCES COUNCILLORS TRAVEL",D$251:D$1260)</f>
        <v>3476600</v>
      </c>
      <c r="E37" s="7">
        <f>SUMIF($A$251:$A$1260,"ALLOWANCES COUNCILLORS TRAVEL",E$251:E$1260)</f>
        <v>3678300</v>
      </c>
    </row>
    <row r="38" spans="1:5" x14ac:dyDescent="0.15">
      <c r="A38" s="1" t="s">
        <v>280</v>
      </c>
      <c r="B38" s="126">
        <f>SUMIF($A$251:$A$1260,"ALLOWANCES: APPOINTED COUNCILLORS",B$251:B$1260)</f>
        <v>0</v>
      </c>
      <c r="C38" s="202">
        <f>SUMIF($A$251:$A$1260,"ALLOWANCES: APPOINTED COUNCILLORS",C$251:C$1260)</f>
        <v>0</v>
      </c>
      <c r="D38" s="7">
        <f>SUMIF($A$251:$A$1260,"ALLOWANCES: APPOINTED COUNCILLORS",D$251:D$1260)</f>
        <v>0</v>
      </c>
      <c r="E38" s="7">
        <f>SUMIF($A$251:$A$1260,"ALLOWANCES: APPOINTED COUNCILLORS",E$251:E$1260)</f>
        <v>0</v>
      </c>
    </row>
    <row r="39" spans="1:5" x14ac:dyDescent="0.15">
      <c r="A39" s="1" t="s">
        <v>133</v>
      </c>
      <c r="B39" s="126">
        <f>SUMIF($A$251:$A$1260,"CELLPHONE ALLOWANCE: FULL TIME COUNCILLORS",B$251:B$1260)</f>
        <v>229845</v>
      </c>
      <c r="C39" s="202">
        <f>SUMIF($A$251:$A$1260,"CELLPHONE ALLOWANCE: FULL TIME COUNCILLORS",C$251:C$1260)</f>
        <v>245934.15</v>
      </c>
      <c r="D39" s="7">
        <f>SUMIF($A$251:$A$1260,"CELLPHONE ALLOWANCE: FULL TIME COUNCILLORS",D$251:D$1260)</f>
        <v>260300</v>
      </c>
      <c r="E39" s="7">
        <f>SUMIF($A$251:$A$1260,"CELLPHONE ALLOWANCE: FULL TIME COUNCILLORS",E$251:E$1260)</f>
        <v>275400</v>
      </c>
    </row>
    <row r="40" spans="1:5" x14ac:dyDescent="0.15">
      <c r="A40" s="1" t="s">
        <v>189</v>
      </c>
      <c r="B40" s="126">
        <f>SUMIF($A$251:$A$1260,"PENSION FUND CONTRIBUTION",B$251:B$1260)</f>
        <v>933101</v>
      </c>
      <c r="C40" s="202">
        <f>SUMIF($A$251:$A$1260,"PENSION FUND CONTRIBUTION",C$251:C$1260)</f>
        <v>998418.07000000007</v>
      </c>
      <c r="D40" s="7">
        <f>SUMIF($A$251:$A$1260,"PENSION FUND CONTRIBUTION",D$251:D$1260)</f>
        <v>1056300</v>
      </c>
      <c r="E40" s="7">
        <f>SUMIF($A$251:$A$1260,"PENSION FUND CONTRIBUTION",E$251:E$1260)</f>
        <v>1117500</v>
      </c>
    </row>
    <row r="41" spans="1:5" x14ac:dyDescent="0.15">
      <c r="A41" s="1" t="s">
        <v>134</v>
      </c>
      <c r="B41" s="126">
        <f>SUMIF($A$251:$A$1260,"CELLPHONE ALLOWANCE: PART TIME COUNCILLORS",B$251:B$1260)</f>
        <v>270010</v>
      </c>
      <c r="C41" s="202">
        <f>SUMIF($A$251:$A$1260,"CELLPHONE ALLOWANCE: PART TIME COUNCILLORS",C$251:C$1260)</f>
        <v>288910.7</v>
      </c>
      <c r="D41" s="7">
        <f>SUMIF($A$251:$A$1260,"CELLPHONE ALLOWANCE: PART TIME COUNCILLORS",D$251:D$1260)</f>
        <v>305700</v>
      </c>
      <c r="E41" s="7">
        <f>SUMIF($A$251:$A$1260,"CELLPHONE ALLOWANCE: PART TIME COUNCILLORS",E$251:E$1260)</f>
        <v>323400</v>
      </c>
    </row>
    <row r="42" spans="1:5" x14ac:dyDescent="0.15">
      <c r="A42" s="1" t="s">
        <v>132</v>
      </c>
      <c r="B42" s="126">
        <f>SUMIF($A$251:$A$1260,"SITTING ALLOWANCE",B$251:B$1260)</f>
        <v>277174</v>
      </c>
      <c r="C42" s="202">
        <f>SUMIF($A$251:$A$1260,"SITTING ALLOWANCE",C$251:C$1260)</f>
        <v>533073</v>
      </c>
      <c r="D42" s="7">
        <f>SUMIF($A$251:$A$1260,"SITTING ALLOWANCE",D$251:D$1260)</f>
        <v>564000</v>
      </c>
      <c r="E42" s="7">
        <f>SUMIF($A$251:$A$1260,"SITTING ALLOWANCE",E$251:E$1260)</f>
        <v>596700</v>
      </c>
    </row>
    <row r="43" spans="1:5" x14ac:dyDescent="0.15">
      <c r="A43" s="1" t="s">
        <v>184</v>
      </c>
      <c r="B43" s="126">
        <f>SUMIF($A$251:$A$1260,"MEDICAL AID CONTRIBUTION",B$251:B$1260)</f>
        <v>156957</v>
      </c>
      <c r="C43" s="202">
        <f>SUMIF($A$251:$A$1260,"MEDICAL AID CONTRIBUTION",C$251:C$1260)</f>
        <v>167943.99</v>
      </c>
      <c r="D43" s="7">
        <f>SUMIF($A$251:$A$1260,"MEDICAL AID CONTRIBUTION",D$251:D$1260)</f>
        <v>177800</v>
      </c>
      <c r="E43" s="7">
        <f>SUMIF($A$251:$A$1260,"MEDICAL AID CONTRIBUTION",E$251:E$1260)</f>
        <v>188100</v>
      </c>
    </row>
    <row r="44" spans="1:5" x14ac:dyDescent="0.15">
      <c r="A44" s="1"/>
      <c r="B44" s="126"/>
      <c r="C44" s="202"/>
      <c r="D44" s="7"/>
      <c r="E44" s="7"/>
    </row>
    <row r="45" spans="1:5" ht="12" thickBot="1" x14ac:dyDescent="0.2">
      <c r="A45" s="1"/>
      <c r="B45" s="138">
        <f>SUM(B34:B43)</f>
        <v>14598539</v>
      </c>
      <c r="C45" s="203">
        <f>SUM(C34:C43)</f>
        <v>15851034.640000001</v>
      </c>
      <c r="D45" s="10">
        <f>SUM(D34:D43)</f>
        <v>16770600</v>
      </c>
      <c r="E45" s="10">
        <f>SUM(E34:E43)</f>
        <v>17743300</v>
      </c>
    </row>
    <row r="46" spans="1:5" ht="12" thickTop="1" x14ac:dyDescent="0.15">
      <c r="A46" s="1"/>
      <c r="B46" s="12"/>
      <c r="C46" s="204"/>
      <c r="D46" s="12"/>
      <c r="E46" s="12"/>
    </row>
    <row r="47" spans="1:5" x14ac:dyDescent="0.15">
      <c r="A47" s="6" t="s">
        <v>241</v>
      </c>
      <c r="C47" s="202"/>
      <c r="D47" s="7"/>
      <c r="E47" s="7"/>
    </row>
    <row r="48" spans="1:5" x14ac:dyDescent="0.15">
      <c r="A48" s="1"/>
      <c r="C48" s="202"/>
      <c r="D48" s="7"/>
      <c r="E48" s="7"/>
    </row>
    <row r="49" spans="1:5" x14ac:dyDescent="0.15">
      <c r="A49" s="1" t="s">
        <v>312</v>
      </c>
      <c r="B49" s="126">
        <f>SUMIF($A$251:$A$1260,"TOURISM INDABA",B$251:B$1260)</f>
        <v>211600</v>
      </c>
      <c r="C49" s="202">
        <f>SUMIF($A$251:$A$1260,"TOURISM INDABA",C$251:C$1260)</f>
        <v>200000</v>
      </c>
      <c r="D49" s="7">
        <f>SUMIF($A$251:$A$1260,"TOURISM INDABA",D$251:D$1260)</f>
        <v>211600</v>
      </c>
      <c r="E49" s="7">
        <f>SUMIF($A$251:$A$1260,"TOURISM INDABA",E$251:E$1260)</f>
        <v>223900</v>
      </c>
    </row>
    <row r="50" spans="1:5" x14ac:dyDescent="0.15">
      <c r="A50" s="1" t="s">
        <v>0</v>
      </c>
      <c r="B50" s="126">
        <f>SUMIF($A$251:$A$1260,"LED &amp; TOURISM DEVELOPMENT &amp; PROMOTION",B$251:B$1260)</f>
        <v>1058000</v>
      </c>
      <c r="C50" s="202">
        <f>SUMIF($A$251:$A$1260,"LED &amp; TOURISM DEVELOPMENT &amp; PROMOTION",C$251:C$1260)</f>
        <v>1500000</v>
      </c>
      <c r="D50" s="7">
        <f>SUMIF($A$251:$A$1260,"LED &amp; TOURISM DEVELOPMENT &amp; PROMOTION",D$251:D$1260)</f>
        <v>1587000</v>
      </c>
      <c r="E50" s="7">
        <f>SUMIF($A$251:$A$1260,"LED &amp; TOURISM DEVELOPMENT &amp; PROMOTION",E$251:E$1260)</f>
        <v>1679000</v>
      </c>
    </row>
    <row r="51" spans="1:5" x14ac:dyDescent="0.15">
      <c r="A51" s="1" t="s">
        <v>310</v>
      </c>
      <c r="B51" s="126">
        <f>SUMIF($A$251:$A$1260,"AWARENESS CAMPAIGNS",B$251:B$1260)</f>
        <v>887746</v>
      </c>
      <c r="C51" s="202">
        <f>SUMIF($A$251:$A$1260,"AWARENESS CAMPAIGNS",C$251:C$1260)</f>
        <v>650000</v>
      </c>
      <c r="D51" s="7">
        <f>SUMIF($A$251:$A$1260,"AWARENESS CAMPAIGNS",D$251:D$1260)</f>
        <v>687700</v>
      </c>
      <c r="E51" s="7">
        <f>SUMIF($A$251:$A$1260,"AWARENESS CAMPAIGNS",E$251:E$1260)</f>
        <v>727500</v>
      </c>
    </row>
    <row r="52" spans="1:5" x14ac:dyDescent="0.15">
      <c r="A52" s="1" t="s">
        <v>173</v>
      </c>
      <c r="B52" s="126">
        <f>SUMIF($A$251:$A$1260,"ADVERTISING",B$251:B$1260)</f>
        <v>209600</v>
      </c>
      <c r="C52" s="202">
        <f>SUMIF($A$251:$A$1260,"ADVERTISING",C$251:C$1260)</f>
        <v>200000</v>
      </c>
      <c r="D52" s="7">
        <f>SUMIF($A$251:$A$1260,"ADVERTISING",D$251:D$1260)</f>
        <v>211600</v>
      </c>
      <c r="E52" s="7">
        <f>SUMIF($A$251:$A$1260,"ADVERTISING",E$251:E$1260)</f>
        <v>223900</v>
      </c>
    </row>
    <row r="53" spans="1:5" x14ac:dyDescent="0.15">
      <c r="A53" s="1" t="s">
        <v>435</v>
      </c>
      <c r="B53" s="126">
        <f>SUMIF($A$251:$A$1260,"AIDS COUNCILS",B$251:B$1260)</f>
        <v>250000</v>
      </c>
      <c r="C53" s="202">
        <f>SUMIF($A$251:$A$1260,"AIDS COUNCILS",C$251:C$1260)</f>
        <v>250000</v>
      </c>
      <c r="D53" s="216">
        <f>SUMIF($A$251:$A$1260,"AIDS COUNCILS",D$251:D$1260)</f>
        <v>264500</v>
      </c>
      <c r="E53" s="216">
        <f>SUMIF($A$251:$A$1260,"AIDS COUNCILS",E$251:E$1260)</f>
        <v>279800</v>
      </c>
    </row>
    <row r="54" spans="1:5" x14ac:dyDescent="0.15">
      <c r="A54" s="1" t="s">
        <v>466</v>
      </c>
      <c r="B54" s="126">
        <f>SUMIF($A$251:$A$1260,"ANNUAL REPORT",B$251:B$1260)</f>
        <v>178160</v>
      </c>
      <c r="C54" s="202">
        <f>SUMIF($A$251:$A$1260,"ANNUAL REPORT",C$251:C$1260)</f>
        <v>200000</v>
      </c>
      <c r="D54" s="216">
        <f>SUMIF($A$251:$A$1260,"ANNUAL REPORT",D$251:D$1260)</f>
        <v>211600</v>
      </c>
      <c r="E54" s="216">
        <f>SUMIF($A$251:$A$1260,"ANNUAL REPORT",E$251:E$1260)</f>
        <v>223900</v>
      </c>
    </row>
    <row r="55" spans="1:5" x14ac:dyDescent="0.15">
      <c r="A55" s="1" t="s">
        <v>129</v>
      </c>
      <c r="B55" s="126">
        <f>SUMIF($A$251:$A$1260,"ANALYSING OF SAMPLES",B$251:B$1260)</f>
        <v>85000</v>
      </c>
      <c r="C55" s="202">
        <f>SUMIF($A$251:$A$1260,"ANALYSING OF SAMPLES",C$251:C$1260)</f>
        <v>80000</v>
      </c>
      <c r="D55" s="7">
        <f>SUMIF($A$251:$A$1260,"ANALYSING OF SAMPLES",D$251:D$1260)</f>
        <v>84600</v>
      </c>
      <c r="E55" s="7">
        <f>SUMIF($A$251:$A$1260,"ANALYSING OF SAMPLES",E$251:E$1260)</f>
        <v>89500</v>
      </c>
    </row>
    <row r="56" spans="1:5" x14ac:dyDescent="0.15">
      <c r="A56" s="1" t="s">
        <v>530</v>
      </c>
      <c r="B56" s="126">
        <f>SUMIF($A$251:$A$1260,"ASSISTANCE TO LOCAL MUNICIPALITIES ",B$251:B$1260)</f>
        <v>2500000</v>
      </c>
      <c r="C56" s="202">
        <f>SUMIF($A$251:$A$1260,"ASSISTANCE TO LOCAL MUNICIPALITIES ",C$251:C$1260)</f>
        <v>0</v>
      </c>
      <c r="D56" s="7">
        <f>SUMIF($A$251:$A$1260,"ASSISTANCE TO LOCAL MUNICIPALITIES ",D$251:D$1260)</f>
        <v>0</v>
      </c>
      <c r="E56" s="7">
        <f>SUMIF($A$251:$A$1260,"ASSISTANCE TO LOCAL MUNICIPALITIES ",E$251:E$1260)</f>
        <v>3157900</v>
      </c>
    </row>
    <row r="57" spans="1:5" x14ac:dyDescent="0.15">
      <c r="A57" s="1" t="s">
        <v>569</v>
      </c>
      <c r="B57" s="126">
        <f>SUMIF($A$251:$A$1260,"AUDIT AND RISK COMMITTEE",B$251:B$1260)</f>
        <v>650000</v>
      </c>
      <c r="C57" s="202">
        <f>SUMIF($A$251:$A$1260,"AUDIT AND RISK COMMITTEE",C$251:C$1260)</f>
        <v>500000</v>
      </c>
      <c r="D57" s="7">
        <f>SUMIF($A$251:$A$1260,"AUDIT AND RISK COMMITTEE",D$251:D$1260)</f>
        <v>529000</v>
      </c>
      <c r="E57" s="7">
        <f>SUMIF($A$251:$A$1260,"AUDIT AND RISK COMMITTEE",E$251:E$1260)</f>
        <v>559700</v>
      </c>
    </row>
    <row r="58" spans="1:5" x14ac:dyDescent="0.15">
      <c r="A58" s="1" t="s">
        <v>260</v>
      </c>
      <c r="B58" s="126">
        <f>SUMIF($A$251:$A$1260,"BACTERIOLOGICAL TEST",B$251:B$1260)</f>
        <v>0</v>
      </c>
      <c r="C58" s="202">
        <f>SUMIF($A$251:$A$1260,"BACTERIOLOGICAL TEST",C$251:C$1260)</f>
        <v>0</v>
      </c>
      <c r="D58" s="7">
        <f>SUMIF($A$251:$A$1260,"BACTERIOLOGICAL TEST",D$251:D$1260)</f>
        <v>0</v>
      </c>
      <c r="E58" s="7">
        <f>SUMIF($A$251:$A$1260,"BACTERIOLOGICAL TEST",E$251:E$1260)</f>
        <v>0</v>
      </c>
    </row>
    <row r="59" spans="1:5" x14ac:dyDescent="0.15">
      <c r="A59" s="1" t="s">
        <v>174</v>
      </c>
      <c r="B59" s="126">
        <f>SUMIF($A$251:$A$1260,"BANK CHARGES",B$251:B$1260)</f>
        <v>91429</v>
      </c>
      <c r="C59" s="202">
        <f>SUMIF($A$251:$A$1260,"BANK CHARGES",C$251:C$1260)</f>
        <v>96914.74</v>
      </c>
      <c r="D59" s="7">
        <f>SUMIF($A$251:$A$1260,"BANK CHARGES",D$251:D$1260)</f>
        <v>102500</v>
      </c>
      <c r="E59" s="7">
        <f>SUMIF($A$251:$A$1260,"BANK CHARGES",E$251:E$1260)</f>
        <v>108400</v>
      </c>
    </row>
    <row r="60" spans="1:5" x14ac:dyDescent="0.15">
      <c r="A60" s="1" t="s">
        <v>235</v>
      </c>
      <c r="B60" s="126">
        <f>SUMIF($A$251:$A$1260,"BURSARIES EMPLOYEES",B$251:B$1260)</f>
        <v>209600</v>
      </c>
      <c r="C60" s="202">
        <f>SUMIF($A$251:$A$1260,"BURSARIES EMPLOYEES",C$251:C$1260)</f>
        <v>600000</v>
      </c>
      <c r="D60" s="7">
        <f>SUMIF($A$251:$A$1260,"BURSARIES EMPLOYEES",D$251:D$1260)</f>
        <v>634800</v>
      </c>
      <c r="E60" s="7">
        <f>SUMIF($A$251:$A$1260,"BURSARIES EMPLOYEES",E$251:E$1260)</f>
        <v>671600</v>
      </c>
    </row>
    <row r="61" spans="1:5" x14ac:dyDescent="0.15">
      <c r="A61" s="8" t="s">
        <v>176</v>
      </c>
      <c r="B61" s="126">
        <f>SUMIF($A$251:$A$1260,"CASH COLLECTION SERVICES",B$251:B$1260)</f>
        <v>0</v>
      </c>
      <c r="C61" s="202">
        <f>SUMIF($A$251:$A$1260,"CASH COLLECTION SERVICES",C$251:C$1260)</f>
        <v>0</v>
      </c>
      <c r="D61" s="7">
        <f>SUMIF($A$251:$A$1260,"CASH COLLECTION SERVICES",D$251:D$1260)</f>
        <v>0</v>
      </c>
      <c r="E61" s="7">
        <f>SUMIF($A$251:$A$1260,"CASH COLLECTION SERVICES",E$251:E$1260)</f>
        <v>0</v>
      </c>
    </row>
    <row r="62" spans="1:5" x14ac:dyDescent="0.15">
      <c r="A62" s="1" t="s">
        <v>339</v>
      </c>
      <c r="B62" s="126">
        <f>SUMIF($A$251:$A$1260,"CONFERENCE AND SEMINARS",B$251:B$1260)</f>
        <v>117598</v>
      </c>
      <c r="C62" s="202">
        <f>SUMIF($A$251:$A$1260,"CONFERENCE AND SEMINARS",C$251:C$1260)</f>
        <v>1100000</v>
      </c>
      <c r="D62" s="7">
        <f>SUMIF($A$251:$A$1260,"CONFERENCE AND SEMINARS",D$251:D$1260)</f>
        <v>1163800</v>
      </c>
      <c r="E62" s="7">
        <f>SUMIF($A$251:$A$1260,"CONFERENCE AND SEMINARS",E$251:E$1260)</f>
        <v>1231300</v>
      </c>
    </row>
    <row r="63" spans="1:5" x14ac:dyDescent="0.15">
      <c r="A63" s="1" t="s">
        <v>269</v>
      </c>
      <c r="B63" s="126">
        <f>SUMIF($A$251:$A$1260,"COMMUNITY OUTREACH",B$251:B$1260)</f>
        <v>2500000</v>
      </c>
      <c r="C63" s="202">
        <f>SUMIF($A$251:$A$1260,"COMMUNITY OUTREACH",C$251:C$1260)</f>
        <v>1500000</v>
      </c>
      <c r="D63" s="7">
        <f>SUMIF($A$251:$A$1260,"COMMUNITY OUTREACH",D$251:D$1260)</f>
        <v>1587000</v>
      </c>
      <c r="E63" s="7">
        <f>SUMIF($A$251:$A$1260,"COMMUNITY OUTREACH",E$251:E$1260)</f>
        <v>1679000</v>
      </c>
    </row>
    <row r="64" spans="1:5" x14ac:dyDescent="0.15">
      <c r="A64" s="1" t="s">
        <v>434</v>
      </c>
      <c r="B64" s="126">
        <f>SUMIF($A$251:$A$1260,"COMMUNITY PROFILING THROUGH RESEARCH",B$251:B$1260)</f>
        <v>0</v>
      </c>
      <c r="C64" s="202">
        <f>SUMIF($A$251:$A$1260,"COMMUNITY PROFILING THROUGH RESEARCH",C$251:C$1260)</f>
        <v>0</v>
      </c>
      <c r="D64" s="172">
        <f>SUMIF($A$251:$A$1260,"COMMUNITY PROFILING THROUGH RESEARCH",D$251:D$1260)</f>
        <v>0</v>
      </c>
      <c r="E64" s="172">
        <f>SUMIF($A$251:$A$1260,"COMMUNITY PROFILING THROUGH RESEARCH",E$251:E$1260)</f>
        <v>0</v>
      </c>
    </row>
    <row r="65" spans="1:5" x14ac:dyDescent="0.15">
      <c r="A65" s="1" t="s">
        <v>175</v>
      </c>
      <c r="B65" s="126">
        <f>SUMIF($A$251:$A$1260,"COMPUTOR MAINTENANCE AND SUPPORT",B$251:B$1260)</f>
        <v>1850000</v>
      </c>
      <c r="C65" s="202">
        <f>SUMIF($A$251:$A$1260,"COMPUTOR MAINTENANCE AND SUPPORT",C$251:C$1260)</f>
        <v>2600000</v>
      </c>
      <c r="D65" s="7">
        <f>SUMIF($A$251:$A$1260,"COMPUTOR MAINTENANCE AND SUPPORT",D$251:D$1260)</f>
        <v>2750800</v>
      </c>
      <c r="E65" s="7">
        <f>SUMIF($A$251:$A$1260,"COMPUTOR MAINTENANCE AND SUPPORT",E$251:E$1260)</f>
        <v>2910300</v>
      </c>
    </row>
    <row r="66" spans="1:5" x14ac:dyDescent="0.15">
      <c r="A66" s="1" t="s">
        <v>131</v>
      </c>
      <c r="B66" s="126">
        <f>SUMIF($A$251:$A$1260,"CONFERENCE &amp; CONGRESS",B$251:B$1260)</f>
        <v>402090</v>
      </c>
      <c r="C66" s="202">
        <f>SUMIF($A$251:$A$1260,"CONFERENCE &amp; CONGRESS",C$251:C$1260)</f>
        <v>410000</v>
      </c>
      <c r="D66" s="7">
        <f>SUMIF($A$251:$A$1260,"CONFERENCE &amp; CONGRESS",D$251:D$1260)</f>
        <v>433800</v>
      </c>
      <c r="E66" s="7">
        <f>SUMIF($A$251:$A$1260,"CONFERENCE &amp; CONGRESS",E$251:E$1260)</f>
        <v>459000</v>
      </c>
    </row>
    <row r="67" spans="1:5" x14ac:dyDescent="0.15">
      <c r="A67" s="8" t="s">
        <v>2</v>
      </c>
      <c r="B67" s="126">
        <f>SUMIF($A$251:$A$1260,"CORPORATE IMAGE, WEBSITE AND INTERNET",B$251:B$1260)</f>
        <v>272480</v>
      </c>
      <c r="C67" s="202">
        <f>SUMIF($A$251:$A$1260,"CORPORATE IMAGE, WEBSITE AND INTERNET",C$251:C$1260)</f>
        <v>200000</v>
      </c>
      <c r="D67" s="126">
        <f>SUMIF($A$251:$A$1260,"CORPORATE IMAGE, WEBSITE AND INTERNET",D$251:D$1260)</f>
        <v>211600</v>
      </c>
      <c r="E67" s="126">
        <f>SUMIF($A$251:$A$1260,"CORPORATE IMAGE, WEBSITE AND INTERNET",E$251:E$1260)</f>
        <v>223900</v>
      </c>
    </row>
    <row r="68" spans="1:5" x14ac:dyDescent="0.15">
      <c r="A68" s="8" t="s">
        <v>432</v>
      </c>
      <c r="B68" s="126">
        <f>SUMIF($A$251:$A$1260,"CORPORATE GIS SHARED SERVICES",B$251:B$1260)</f>
        <v>952200</v>
      </c>
      <c r="C68" s="202">
        <f>SUMIF($A$251:$A$1260,"CORPORATE GIS SHARED SERVICES",C$251:C$1260)</f>
        <v>1100000</v>
      </c>
      <c r="D68" s="172">
        <f>SUMIF($A$251:$A$1260,"CORPORATE GIS SHARED SERVICES",D$251:D$1260)</f>
        <v>1163800</v>
      </c>
      <c r="E68" s="172">
        <f>SUMIF($A$251:$A$1260,"CORPORATE GIS SHARED SERVICES",E$251:E$1260)</f>
        <v>1231300</v>
      </c>
    </row>
    <row r="69" spans="1:5" x14ac:dyDescent="0.15">
      <c r="A69" s="1" t="s">
        <v>268</v>
      </c>
      <c r="B69" s="126">
        <f>SUMIF($A$251:$A$1260,"=DISASTER MANAGEMENT OPERATIONAL COSTS",B$251:B$1260)</f>
        <v>1800000</v>
      </c>
      <c r="C69" s="202">
        <f>SUMIF($A$251:$A$1260,"=DISASTER MANAGEMENT OPERATIONAL COSTS",C$251:C$1260)</f>
        <v>1800000</v>
      </c>
      <c r="D69" s="7">
        <f>SUMIF($A$251:$A$1260,"=DISASTER MANAGEMENT OPERATIONAL COSTS",D$251:D$1260)</f>
        <v>1904400</v>
      </c>
      <c r="E69" s="7">
        <f>SUMIF($A$251:$A$1260,"=DISASTER MANAGEMENT OPERATIONAL COSTS",E$251:E$1260)</f>
        <v>2014900</v>
      </c>
    </row>
    <row r="70" spans="1:5" x14ac:dyDescent="0.15">
      <c r="A70" s="1" t="s">
        <v>426</v>
      </c>
      <c r="B70" s="126">
        <f>SUMIF($A$251:$A$1260,"=DISASTER MANAGEMENT EMERGENCY RELIEF",B$251:B$1260)</f>
        <v>1000000</v>
      </c>
      <c r="C70" s="202">
        <f>SUMIF($A$251:$A$1260,"=DISASTER MANAGEMENT EMERGENCY RELIEF",C$251:C$1260)</f>
        <v>1700000</v>
      </c>
      <c r="D70" s="172">
        <f>SUMIF($A$251:$A$1260,"=DISASTER MANAGEMENT EMERGENCY RELIEF",D$251:D$1260)</f>
        <v>1798600</v>
      </c>
      <c r="E70" s="172">
        <f>SUMIF($A$251:$A$1260,"=DISASTER MANAGEMENT EMERGENCY RELIEF",E$251:E$1260)</f>
        <v>1902900</v>
      </c>
    </row>
    <row r="71" spans="1:5" x14ac:dyDescent="0.15">
      <c r="A71" s="1" t="s">
        <v>422</v>
      </c>
      <c r="B71" s="172">
        <f>SUMIF($A$251:$A$1260,"=DEVELOPMENT OF IT STRATEGIC PLAN",B$251:B$1260)</f>
        <v>250000</v>
      </c>
      <c r="C71" s="202">
        <f>SUMIF($A$251:$A$1260,"=DEVELOPMENT OF IT STRATEGIC PLAN",C$251:C$1260)</f>
        <v>0</v>
      </c>
      <c r="D71" s="172">
        <f>SUMIF($A$251:$A$1260,"=DEVELOPMENT OF IT STRATEGIC PLAN",D$251:D$1260)</f>
        <v>0</v>
      </c>
      <c r="E71" s="172">
        <f>SUMIF($A$251:$A$1260,"=DEVELOPMENT OF IT STRATEGIC PLAN",E$251:E$1260)</f>
        <v>0</v>
      </c>
    </row>
    <row r="72" spans="1:5" x14ac:dyDescent="0.15">
      <c r="A72" s="1" t="s">
        <v>635</v>
      </c>
      <c r="B72" s="126">
        <f>SUMIF($A$251:$A$1260,"=ELECTRICITY,WATER &amp; RATES",B$251:B$1260)</f>
        <v>3020608</v>
      </c>
      <c r="C72" s="202">
        <f>SUMIF($A$251:$A$1260,"=ELECTRICITY,WATER &amp; RATES",C$251:C$1260)</f>
        <v>5328755</v>
      </c>
      <c r="D72" s="7">
        <f>SUMIF($A$251:$A$1260,"=ELECTRICITY,WATER &amp; RATES",D$251:D$1260)</f>
        <v>5637800</v>
      </c>
      <c r="E72" s="7">
        <f>SUMIF($A$251:$A$1260,"=ELECTRICITY,WATER &amp; RATES",E$251:E$1260)</f>
        <v>5964800</v>
      </c>
    </row>
    <row r="73" spans="1:5" x14ac:dyDescent="0.15">
      <c r="A73" s="1" t="s">
        <v>427</v>
      </c>
      <c r="B73" s="126">
        <f>SUMIF($A$251:$A$1260,"=EDM CENTRAL IMPROVEMENT DISTRICT",B$251:B$1260)</f>
        <v>1320000</v>
      </c>
      <c r="C73" s="202">
        <f>SUMIF($A$251:$A$1260,"=EDM CENTRAL IMPROVEMENT DISTRICT",C$251:C$1260)</f>
        <v>1600000</v>
      </c>
      <c r="D73" s="172">
        <f>SUMIF($A$251:$A$1260,"=EDM CENTRAL IMPROVEMENT DISTRICT",D$251:D$1260)</f>
        <v>1692800</v>
      </c>
      <c r="E73" s="172">
        <f>SUMIF($A$251:$A$1260,"=EDM CENTRAL IMPROVEMENT DISTRICT",E$251:E$1260)</f>
        <v>1791000</v>
      </c>
    </row>
    <row r="74" spans="1:5" x14ac:dyDescent="0.15">
      <c r="A74" s="1" t="s">
        <v>308</v>
      </c>
      <c r="B74" s="126">
        <f>SUMIF($A$251:$A$1260,"EMPLOYEE ASSISTANCE PROGRAMME",B$251:B$1260)</f>
        <v>52400</v>
      </c>
      <c r="C74" s="202">
        <f>SUMIF($A$251:$A$1260,"EMPLOYEE ASSISTANCE PROGRAMME",C$251:C$1260)</f>
        <v>50000</v>
      </c>
      <c r="D74" s="7">
        <f>SUMIF($A$251:$A$1260,"EMPLOYEE ASSISTANCE PROGRAMME",D$251:D$1260)</f>
        <v>52900</v>
      </c>
      <c r="E74" s="7">
        <f>SUMIF($A$251:$A$1260,"EMPLOYEE ASSISTANCE PROGRAMME",E$251:E$1260)</f>
        <v>56000</v>
      </c>
    </row>
    <row r="75" spans="1:5" x14ac:dyDescent="0.15">
      <c r="A75" s="1" t="s">
        <v>296</v>
      </c>
      <c r="B75" s="126">
        <f>SUMIF($A$251:$A$1260,"DISTRICT DISASTER MANAGEMENT ADVISORY FORUM",B$251:B$1260)</f>
        <v>60000</v>
      </c>
      <c r="C75" s="202">
        <f>SUMIF($A$251:$A$1260,"DISTRICT DISASTER MANAGEMENT ADVISORY FORUM",C$251:C$1260)</f>
        <v>0</v>
      </c>
      <c r="D75" s="7">
        <f>SUMIF($A$251:$A$1260,"DISTRICT DISASTER MANAGEMENT ADVISORY FORUM",D$251:D$1260)</f>
        <v>0</v>
      </c>
      <c r="E75" s="7">
        <f>SUMIF($A$251:$A$1260,"DISTRICT DISASTER MANAGEMENT ADVISORY FORUM",E$251:E$1260)</f>
        <v>0</v>
      </c>
    </row>
    <row r="76" spans="1:5" x14ac:dyDescent="0.15">
      <c r="A76" s="1" t="s">
        <v>183</v>
      </c>
      <c r="B76" s="126">
        <f>SUMIF($A$251:$A$1260,"ENGINEERING MEMBERSHIP FEES",B$251:B$1260)</f>
        <v>8165</v>
      </c>
      <c r="C76" s="202">
        <f>SUMIF($A$251:$A$1260,"ENGINEERING MEMBERSHIP FEES",C$251:C$1260)</f>
        <v>8654.9</v>
      </c>
      <c r="D76" s="7">
        <f>SUMIF($A$251:$A$1260,"ENGINEERING MEMBERSHIP FEES",D$251:D$1260)</f>
        <v>9200</v>
      </c>
      <c r="E76" s="7">
        <f>SUMIF($A$251:$A$1260,"ENGINEERING MEMBERSHIP FEES",E$251:E$1260)</f>
        <v>9700</v>
      </c>
    </row>
    <row r="77" spans="1:5" x14ac:dyDescent="0.15">
      <c r="A77" s="1" t="s">
        <v>177</v>
      </c>
      <c r="B77" s="126">
        <f>SUMIF($A$251:$A$1260,"ENTERTAINMENT",B$251:B$1260)</f>
        <v>860904</v>
      </c>
      <c r="C77" s="202">
        <f>SUMIF($A$251:$A$1260,"ENTERTAINMENT",C$251:C$1260)</f>
        <v>580252.80000000005</v>
      </c>
      <c r="D77" s="7">
        <f>SUMIF($A$251:$A$1260,"ENTERTAINMENT",D$251:D$1260)</f>
        <v>614000</v>
      </c>
      <c r="E77" s="7">
        <f>SUMIF($A$251:$A$1260,"ENTERTAINMENT",E$251:E$1260)</f>
        <v>649600</v>
      </c>
    </row>
    <row r="78" spans="1:5" x14ac:dyDescent="0.15">
      <c r="A78" s="1" t="s">
        <v>423</v>
      </c>
      <c r="B78" s="126">
        <f>SUMIF($A$251:$A$1260,"FACILITY MANAGEMENT SERVICES-MATERIALS",B$251:B$1260)</f>
        <v>2153600</v>
      </c>
      <c r="C78" s="202">
        <f>SUMIF($A$251:$A$1260,"FACILITY MANAGEMENT SERVICES-MATERIALS",C$251:C$1260)</f>
        <v>0</v>
      </c>
      <c r="D78" s="172">
        <f>SUMIF($A$251:$A$1260,"FACILITY MANAGEMENT SERVICES-MATERIALS",D$251:D$1260)</f>
        <v>0</v>
      </c>
      <c r="E78" s="172">
        <f>SUMIF($A$251:$A$1260,"FACILITY MANAGEMENT SERVICES-MATERIALS",E$251:E$1260)</f>
        <v>0</v>
      </c>
    </row>
    <row r="79" spans="1:5" x14ac:dyDescent="0.15">
      <c r="A79" s="8" t="s">
        <v>205</v>
      </c>
      <c r="B79" s="126">
        <f>SUMIF($A$251:$A$1260,"EQUIPMENT RENTAL AND SERVICES",B$251:B$1260)</f>
        <v>314400</v>
      </c>
      <c r="C79" s="202">
        <f>SUMIF($A$251:$A$1260,"EQUIPMENT RENTAL AND SERVICES",C$251:C$1260)</f>
        <v>400000</v>
      </c>
      <c r="D79" s="7">
        <f>SUMIF($A$251:$A$1260,"EQUIPMENT RENTAL AND SERVICES",D$251:D$1260)</f>
        <v>423200</v>
      </c>
      <c r="E79" s="7">
        <f>SUMIF($A$251:$A$1260,"EQUIPMENT RENTAL AND SERVICES",E$251:E$1260)</f>
        <v>447700</v>
      </c>
    </row>
    <row r="80" spans="1:5" x14ac:dyDescent="0.15">
      <c r="A80" s="8" t="s">
        <v>429</v>
      </c>
      <c r="B80" s="126">
        <f>SUMIF($A$251:$A$1260,"EDM CLEAN UP CAMPAIGN IN ALL LM'S",B$251:B$1260)</f>
        <v>1300000</v>
      </c>
      <c r="C80" s="202">
        <f>SUMIF($A$251:$A$1260,"EDM CLEAN UP CAMPAIGN IN ALL LM'S",C$251:C$1260)</f>
        <v>1200000</v>
      </c>
      <c r="D80" s="172">
        <f>SUMIF($A$251:$A$1260,"EDM CLEAN UP CAMPAIGN IN ALL LM'S",D$251:D$1260)</f>
        <v>1269600</v>
      </c>
      <c r="E80" s="172">
        <f>SUMIF($A$251:$A$1260,"EDM CLEAN UP CAMPAIGN IN ALL LM'S",E$251:E$1260)</f>
        <v>1343200</v>
      </c>
    </row>
    <row r="81" spans="1:5" x14ac:dyDescent="0.15">
      <c r="A81" s="1" t="s">
        <v>178</v>
      </c>
      <c r="B81" s="126">
        <f>SUMIF($A$251:$A$1260,"FIRST AID STOCK",B$251:B$1260)</f>
        <v>5832</v>
      </c>
      <c r="C81" s="202">
        <f>SUMIF($A$251:$A$1260,"FIRST AID STOCK",C$251:C$1260)</f>
        <v>6181.92</v>
      </c>
      <c r="D81" s="7">
        <f>SUMIF($A$251:$A$1260,"FIRST AID STOCK",D$251:D$1260)</f>
        <v>6500</v>
      </c>
      <c r="E81" s="7">
        <f>SUMIF($A$251:$A$1260,"FIRST AID STOCK",E$251:E$1260)</f>
        <v>6900</v>
      </c>
    </row>
    <row r="82" spans="1:5" x14ac:dyDescent="0.15">
      <c r="A82" s="1" t="s">
        <v>179</v>
      </c>
      <c r="B82" s="126">
        <f>SUMIF($A$251:$A$1260,"FUEL AND LUBRICANTS",B$251:B$1260)</f>
        <v>733600</v>
      </c>
      <c r="C82" s="202">
        <f>SUMIF($A$251:$A$1260,"FUEL AND LUBRICANTS",C$251:C$1260)</f>
        <v>700000</v>
      </c>
      <c r="D82" s="7">
        <f>SUMIF($A$251:$A$1260,"FUEL AND LUBRICANTS",D$251:D$1260)</f>
        <v>740600</v>
      </c>
      <c r="E82" s="7">
        <f>SUMIF($A$251:$A$1260,"FUEL AND LUBRICANTS",E$251:E$1260)</f>
        <v>783600</v>
      </c>
    </row>
    <row r="83" spans="1:5" x14ac:dyDescent="0.15">
      <c r="A83" s="1" t="s">
        <v>6</v>
      </c>
      <c r="B83" s="126">
        <f>SUMIF($A$251:$A$1260,"GRAP TECHNICAL SUPPORT ",B$251:B$1260)</f>
        <v>954078</v>
      </c>
      <c r="C83" s="202">
        <f>SUMIF($A$251:$A$1260,"GRAP TECHNICAL SUPPORT ",C$251:C$1260)</f>
        <v>0</v>
      </c>
      <c r="D83" s="7">
        <f>SUMIF($A$251:$A$1260,"GRAP TECHNICAL SUPPORT ",D$251:D$1260)</f>
        <v>0</v>
      </c>
      <c r="E83" s="7">
        <f>SUMIF($A$251:$A$1260,"GRAP TECHNICAL SUPPORT ",E$251:E$1260)</f>
        <v>0</v>
      </c>
    </row>
    <row r="84" spans="1:5" x14ac:dyDescent="0.15">
      <c r="A84" s="1" t="s">
        <v>136</v>
      </c>
      <c r="B84" s="126">
        <f>SUMIF($A$251:$A$1260,"=GIS OPERATIONAL COSTS",B$251:B$1260)</f>
        <v>157354</v>
      </c>
      <c r="C84" s="202">
        <f>SUMIF($A$251:$A$1260,"=GIS OPERATIONAL COSTS",C$251:C$1260)</f>
        <v>150000</v>
      </c>
      <c r="D84" s="7">
        <f>SUMIF($A$251:$A$1260,"=GIS OPERATIONAL COSTS",D$251:D$1260)</f>
        <v>158700</v>
      </c>
      <c r="E84" s="7">
        <f>SUMIF($A$251:$A$1260,"=GIS OPERATIONAL COSTS",E$251:E$1260)</f>
        <v>167900</v>
      </c>
    </row>
    <row r="85" spans="1:5" x14ac:dyDescent="0.15">
      <c r="A85" s="1" t="s">
        <v>431</v>
      </c>
      <c r="B85" s="126">
        <f>SUMIF($A$251:$A$1260,"=GIS SUPPORT TO LM'S",B$251:B$1260)</f>
        <v>353275</v>
      </c>
      <c r="C85" s="202">
        <f>SUMIF($A$251:$A$1260,"=GIS SUPPORT TO LM'S",C$251:C$1260)</f>
        <v>300000</v>
      </c>
      <c r="D85" s="172">
        <f>SUMIF($A$251:$A$1260,"=GIS SUPPORT TO LM'S",D$251:D$1260)</f>
        <v>317400</v>
      </c>
      <c r="E85" s="172">
        <f>SUMIF($A$251:$A$1260,"=GIS SUPPORT TO LM'S",E$251:E$1260)</f>
        <v>335800</v>
      </c>
    </row>
    <row r="86" spans="1:5" x14ac:dyDescent="0.15">
      <c r="A86" s="1" t="s">
        <v>181</v>
      </c>
      <c r="B86" s="126">
        <f>SUMIF($A$251:$A$1260,"=HANDY MAN SERVICES",B$251:B$1260)</f>
        <v>20960</v>
      </c>
      <c r="C86" s="202">
        <f>SUMIF($A$251:$A$1260,"=HANDY MAN SERVICES",C$251:C$1260)</f>
        <v>0</v>
      </c>
      <c r="D86" s="172">
        <f>SUMIF($A$251:$A$1260,"=HANDY MAN SERVICES",D$251:D$1260)</f>
        <v>0</v>
      </c>
      <c r="E86" s="172">
        <f>SUMIF($A$251:$A$1260,"=HANDY MAN SERVICES",E$251:E$1260)</f>
        <v>0</v>
      </c>
    </row>
    <row r="87" spans="1:5" x14ac:dyDescent="0.15">
      <c r="A87" s="1" t="s">
        <v>319</v>
      </c>
      <c r="B87" s="126">
        <f>SUMIF($A$251:$A$1260,"HIV/AIDS MOBILISATION PROGRAMS",B$251:B$1260)</f>
        <v>450000</v>
      </c>
      <c r="C87" s="202">
        <f>SUMIF($A$251:$A$1260,"HIV/AIDS MOBILISATION PROGRAMS",C$251:C$1260)</f>
        <v>450000</v>
      </c>
      <c r="D87" s="7">
        <f>SUMIF($A$251:$A$1260,"HIV/AIDS MOBILISATION PROGRAMS",D$251:D$1260)</f>
        <v>476100</v>
      </c>
      <c r="E87" s="7">
        <f>SUMIF($A$251:$A$1260,"HIV/AIDS MOBILISATION PROGRAMS",E$251:E$1260)</f>
        <v>503700</v>
      </c>
    </row>
    <row r="88" spans="1:5" x14ac:dyDescent="0.15">
      <c r="A88" s="1" t="s">
        <v>295</v>
      </c>
      <c r="B88" s="126">
        <f>SUMIF($A$251:$A$1260,"IDP REVIEW",B$251:B$1260)</f>
        <v>350000</v>
      </c>
      <c r="C88" s="202">
        <f>SUMIF($A$251:$A$1260,"IDP REVIEW",C$251:C$1260)</f>
        <v>300000</v>
      </c>
      <c r="D88" s="7">
        <f>SUMIF($A$251:$A$1260,"IDP REVIEW",D$251:D$1260)</f>
        <v>317400</v>
      </c>
      <c r="E88" s="7">
        <f>SUMIF($A$251:$A$1260,"IDP REVIEW",E$251:E$1260)</f>
        <v>335800</v>
      </c>
    </row>
    <row r="89" spans="1:5" x14ac:dyDescent="0.15">
      <c r="A89" s="2" t="s">
        <v>311</v>
      </c>
      <c r="B89" s="126">
        <f>SUMIF($A$251:$A$1260,"INCIDENT COMMAND VEHICLE EQUIPMENT MAINTANANCE",B$251:B$1260)</f>
        <v>46658</v>
      </c>
      <c r="C89" s="202">
        <f>SUMIF($A$251:$A$1260,"INCIDENT COMMAND VEHICLE EQUIPMENT MAINTANANCE",C$251:C$1260)</f>
        <v>0</v>
      </c>
      <c r="D89" s="7">
        <f>SUMIF($A$251:$A$1260,"INCIDENT COMMAND VEHICLE EQUIPMENT MAINTANANCE",D$251:D$1260)</f>
        <v>0</v>
      </c>
      <c r="E89" s="7">
        <f>SUMIF($A$251:$A$1260,"INCIDENT COMMAND VEHICLE EQUIPMENT MAINTANANCE",E$251:E$1260)</f>
        <v>0</v>
      </c>
    </row>
    <row r="90" spans="1:5" x14ac:dyDescent="0.15">
      <c r="A90" s="1" t="s">
        <v>322</v>
      </c>
      <c r="B90" s="126">
        <f>SUMIF($A$251:$A$1260,"INTERFACE WITH TRADITIONAL LEADERS",B$251:B$1260)</f>
        <v>160000</v>
      </c>
      <c r="C90" s="202">
        <f>SUMIF($A$251:$A$1260,"INTERFACE WITH TRADITIONAL LEADERS",C$251:C$1260)</f>
        <v>0</v>
      </c>
      <c r="D90" s="7">
        <f>SUMIF($A$251:$A$1260,"INTERFACE WITH TRADITIONAL LEADERS",D$251:D$1260)</f>
        <v>0</v>
      </c>
      <c r="E90" s="7">
        <f>SUMIF($A$251:$A$1260,"INTERFACE WITH TRADITIONAL LEADERS",E$251:E$1260)</f>
        <v>0</v>
      </c>
    </row>
    <row r="91" spans="1:5" x14ac:dyDescent="0.15">
      <c r="A91" s="1" t="s">
        <v>180</v>
      </c>
      <c r="B91" s="126">
        <f>SUMIF($A$251:$A$1260,"INSURANCE",B$251:B$1260)</f>
        <v>943200</v>
      </c>
      <c r="C91" s="202">
        <f>SUMIF($A$251:$A$1260,"INSURANCE",C$251:C$1260)</f>
        <v>600000</v>
      </c>
      <c r="D91" s="7">
        <f>SUMIF($A$251:$A$1260,"INSURANCE",D$251:D$1260)</f>
        <v>634800</v>
      </c>
      <c r="E91" s="7">
        <f>SUMIF($A$251:$A$1260,"INSURANCE",E$251:E$1260)</f>
        <v>671600</v>
      </c>
    </row>
    <row r="92" spans="1:5" x14ac:dyDescent="0.15">
      <c r="A92" s="8" t="s">
        <v>304</v>
      </c>
      <c r="B92" s="126">
        <f>SUMIF($A$251:$A$1260,"INTEREST ON EXTERNAL LOAN DBSA",B$251:B$1260)</f>
        <v>32061245</v>
      </c>
      <c r="C92" s="202">
        <f>SUMIF($A$251:$A$1260,"INTEREST ON EXTERNAL LOAN DBSA",C$251:C$1260)</f>
        <v>21395905</v>
      </c>
      <c r="D92" s="7">
        <f>SUMIF($A$251:$A$1260,"INTEREST ON EXTERNAL LOAN DBSA",D$251:D$1260)</f>
        <v>21495905</v>
      </c>
      <c r="E92" s="7">
        <f>SUMIF($A$251:$A$1260,"INTEREST ON EXTERNAL LOAN DBSA",E$251:E$1260)</f>
        <v>21495905</v>
      </c>
    </row>
    <row r="93" spans="1:5" x14ac:dyDescent="0.15">
      <c r="A93" s="8" t="s">
        <v>489</v>
      </c>
      <c r="B93" s="186">
        <f>SUMIF($A$251:$A$1260,"INTEREST OTHER",B$251:B$1260)</f>
        <v>0</v>
      </c>
      <c r="C93" s="202">
        <f>SUMIF($A$251:$A$1260,"INTEREST OTHER",C$251:C$1260)</f>
        <v>0</v>
      </c>
      <c r="D93" s="7">
        <f>SUMIF($A$251:$A$1260,"INTEREST OTHER",D$251:D$1260)</f>
        <v>0</v>
      </c>
      <c r="E93" s="7">
        <f>SUMIF($A$251:$A$1260,"INTEREST OTHER",E$251:E$1260)</f>
        <v>0</v>
      </c>
    </row>
    <row r="94" spans="1:5" x14ac:dyDescent="0.15">
      <c r="A94" s="1" t="s">
        <v>560</v>
      </c>
      <c r="B94" s="230">
        <f>SUMIF($A$251:$A$1260,"MAKHONJWA HERITAGE SITE",B$251:B$1260)</f>
        <v>200000</v>
      </c>
      <c r="C94" s="202">
        <f>SUMIF($A$251:$A$1260,"MAKHONJWA HERITAGE SITE",C$251:C$1260)</f>
        <v>200000</v>
      </c>
      <c r="D94" s="172">
        <f t="shared" ref="D94:E94" si="0">SUMIF($A$251:$A$1260,"MAKHONJWA HERITAGE SITE",D$251:D$1260)</f>
        <v>211600</v>
      </c>
      <c r="E94" s="172">
        <f t="shared" si="0"/>
        <v>223900</v>
      </c>
    </row>
    <row r="95" spans="1:5" x14ac:dyDescent="0.15">
      <c r="A95" s="1" t="s">
        <v>307</v>
      </c>
      <c r="B95" s="186">
        <f>SUMIF($A$251:$A$1260,"LONG TERM DEVELOPMENT STRATEGY",B$251:B$1260)</f>
        <v>0</v>
      </c>
      <c r="C95" s="202">
        <f>SUMIF($A$251:$A$1260,"LONG TERM DEVELOPMENT STRATEGY",C$251:C$1260)</f>
        <v>0</v>
      </c>
      <c r="D95" s="7">
        <f>SUMIF($A$251:$A$1260,"LONG TERM DEVELOPMENT STRATEGY",D$251:D$1260)</f>
        <v>0</v>
      </c>
      <c r="E95" s="7">
        <f>SUMIF($A$251:$A$1260,"LONG TERM DEVELOPMENT STRATEGY",E$251:E$1260)</f>
        <v>0</v>
      </c>
    </row>
    <row r="96" spans="1:5" x14ac:dyDescent="0.15">
      <c r="A96" s="1" t="s">
        <v>425</v>
      </c>
      <c r="B96" s="126">
        <f>SUMIF($A$251:$A$1260,"LEARNERSHIP PROGRAMMES &amp; INTERNSHIP",B$251:B$1260)</f>
        <v>0</v>
      </c>
      <c r="C96" s="202">
        <f>SUMIF($A$251:$A$1260,"LEARNERSHIP PROGRAMMES &amp; INTERNSHIP",C$251:C$1260)</f>
        <v>0</v>
      </c>
      <c r="D96" s="172">
        <f>SUMIF($A$251:$A$1260,"LEARNERSHIP PROGRAMMES &amp; INTERNSHIP",D$251:D$1260)</f>
        <v>0</v>
      </c>
      <c r="E96" s="172">
        <f>SUMIF($A$251:$A$1260,"LEARNERSHIP PROGRAMMES &amp; INTERNSHIP",E$251:E$1260)</f>
        <v>0</v>
      </c>
    </row>
    <row r="97" spans="1:5" x14ac:dyDescent="0.15">
      <c r="A97" s="1" t="s">
        <v>430</v>
      </c>
      <c r="B97" s="126">
        <f>SUMIF($A$251:$A$1260,"LED OUTREACH PROGRAM BUSINESS DAYS FOR COMMUNITIES",B$251:B$1260)</f>
        <v>78133</v>
      </c>
      <c r="C97" s="202">
        <f>SUMIF($A$251:$A$1260,"LED OUTREACH PROGRAM BUSINESS DAYS FOR COMMUNITIES",C$251:C$1260)</f>
        <v>82820.98</v>
      </c>
      <c r="D97" s="172">
        <f>SUMIF($A$251:$A$1260,"LED OUTREACH PROGRAM BUSINESS DAYS FOR COMMUNITIES",D$251:D$1260)</f>
        <v>87600</v>
      </c>
      <c r="E97" s="172">
        <f>SUMIF($A$251:$A$1260,"LED OUTREACH PROGRAM BUSINESS DAYS FOR COMMUNITIES",E$251:E$1260)</f>
        <v>92700</v>
      </c>
    </row>
    <row r="98" spans="1:5" x14ac:dyDescent="0.15">
      <c r="A98" s="8" t="s">
        <v>182</v>
      </c>
      <c r="B98" s="126">
        <f>SUMIF($A$251:$A$1260,"LEGAL COST",B$251:B$1260)</f>
        <v>500000</v>
      </c>
      <c r="C98" s="202">
        <f>SUMIF($A$251:$A$1260,"LEGAL COST",C$251:C$1260)</f>
        <v>400000</v>
      </c>
      <c r="D98" s="7">
        <f>SUMIF($A$251:$A$1260,"LEGAL COST",D$251:D$1260)</f>
        <v>423200</v>
      </c>
      <c r="E98" s="7">
        <f>SUMIF($A$251:$A$1260,"LEGAL COST",E$251:E$1260)</f>
        <v>447700</v>
      </c>
    </row>
    <row r="99" spans="1:5" x14ac:dyDescent="0.15">
      <c r="A99" s="1" t="s">
        <v>148</v>
      </c>
      <c r="B99" s="126">
        <f>SUMIF($A$251:$A$1260,"MAM - SAFETY &amp; SECURITY",B$251:B$1260)</f>
        <v>0</v>
      </c>
      <c r="C99" s="202">
        <f>SUMIF($A$251:$A$1260,"MAM - SAFETY &amp; SECURITY",C$251:C$1260)</f>
        <v>0</v>
      </c>
      <c r="D99" s="7">
        <f>SUMIF($A$251:$A$1260,"MAM - SAFETY &amp; SECURITY",D$251:D$1260)</f>
        <v>0</v>
      </c>
      <c r="E99" s="7">
        <f>SUMIF($A$251:$A$1260,"MAM - SAFETY &amp; SECURITY",E$251:E$1260)</f>
        <v>0</v>
      </c>
    </row>
    <row r="100" spans="1:5" x14ac:dyDescent="0.15">
      <c r="A100" s="1" t="s">
        <v>146</v>
      </c>
      <c r="B100" s="126">
        <f>SUMIF($A$251:$A$1260,"MARKETING &amp; PUBLICITY",B$251:B$1260)</f>
        <v>471600</v>
      </c>
      <c r="C100" s="202">
        <f>SUMIF($A$251:$A$1260,"MARKETING &amp; PUBLICITY",C$251:C$1260)</f>
        <v>400000</v>
      </c>
      <c r="D100" s="7">
        <f>SUMIF($A$251:$A$1260,"MARKETING &amp; PUBLICITY",D$251:D$1260)</f>
        <v>423200</v>
      </c>
      <c r="E100" s="7">
        <f>SUMIF($A$251:$A$1260,"MARKETING &amp; PUBLICITY",E$251:E$1260)</f>
        <v>447700</v>
      </c>
    </row>
    <row r="101" spans="1:5" x14ac:dyDescent="0.15">
      <c r="A101" s="1" t="s">
        <v>194</v>
      </c>
      <c r="B101" s="126">
        <f>SUMIF($A$251:$A$1260,"MATERIAL AND STOCK",B$251:B$1260)</f>
        <v>329903</v>
      </c>
      <c r="C101" s="202">
        <f>SUMIF($A$251:$A$1260,"MATERIAL AND STOCK",C$251:C$1260)</f>
        <v>580279.30000000005</v>
      </c>
      <c r="D101" s="7">
        <f>SUMIF($A$251:$A$1260,"MATERIAL AND STOCK",D$251:D$1260)</f>
        <v>613900</v>
      </c>
      <c r="E101" s="7">
        <f>SUMIF($A$251:$A$1260,"MATERIAL AND STOCK",E$251:E$1260)</f>
        <v>649500</v>
      </c>
    </row>
    <row r="102" spans="1:5" x14ac:dyDescent="0.15">
      <c r="A102" s="1" t="s">
        <v>299</v>
      </c>
      <c r="B102" s="126">
        <f>SUMIF($A$251:$A$1260,"MAYOR'S BURSARIES",B$251:B$1260)</f>
        <v>450000</v>
      </c>
      <c r="C102" s="202">
        <f>SUMIF($A$251:$A$1260,"MAYOR'S BURSARIES",C$251:C$1260)</f>
        <v>0</v>
      </c>
      <c r="D102" s="216">
        <f>SUMIF($A$251:$A$1260,"MAYOR'S BURSARIES",D$251:D$1260)</f>
        <v>0</v>
      </c>
      <c r="E102" s="216">
        <f>SUMIF($A$251:$A$1260,"MAYOR'S BURSARIES",E$251:E$1260)</f>
        <v>0</v>
      </c>
    </row>
    <row r="103" spans="1:5" x14ac:dyDescent="0.15">
      <c r="A103" s="1" t="s">
        <v>256</v>
      </c>
      <c r="B103" s="126">
        <f>SUMIF($A$251:$A$1260,"MEMBERSHIP FEES SALGA",B$251:B$1260)</f>
        <v>0</v>
      </c>
      <c r="C103" s="202">
        <f>SUMIF($A$251:$A$1260,"MEMBERSHIP FEES SALGA",C$251:C$1260)</f>
        <v>0</v>
      </c>
      <c r="D103" s="7">
        <f>SUMIF($A$251:$A$1260,"MEMBERSHIP FEES SALGA",D$251:D$1260)</f>
        <v>0</v>
      </c>
      <c r="E103" s="7">
        <f>SUMIF($A$251:$A$1260,"MEMBERSHIP FEES SALGA",E$251:E$1260)</f>
        <v>0</v>
      </c>
    </row>
    <row r="104" spans="1:5" x14ac:dyDescent="0.15">
      <c r="A104" s="1" t="s">
        <v>496</v>
      </c>
      <c r="B104" s="172">
        <f>SUMIF($A$251:$A$1260,"MPAC OPERATIONAL COSTS",B$251:B$1260)</f>
        <v>300000</v>
      </c>
      <c r="C104" s="202">
        <f>SUMIF($A$251:$A$1260,"MPAC OPERATIONAL COSTS",C$251:C$1260)</f>
        <v>0</v>
      </c>
      <c r="D104" s="7">
        <f>SUMIF($A$251:$A$1260,"MPAC OPERATIONAL COSTS",D$251:D$1260)</f>
        <v>0</v>
      </c>
      <c r="E104" s="7">
        <f>SUMIF($A$251:$A$1260,"MPAC OPERATIONAL COSTS",E$251:E$1260)</f>
        <v>0</v>
      </c>
    </row>
    <row r="105" spans="1:5" x14ac:dyDescent="0.15">
      <c r="A105" s="1" t="s">
        <v>467</v>
      </c>
      <c r="B105" s="126">
        <f>SUMIF($A$251:$A$1260,"MINIMUM COMPETENCY",B$251:B$1260)</f>
        <v>250000</v>
      </c>
      <c r="C105" s="202">
        <f>SUMIF($A$251:$A$1260,"MINIMUM COMPETENCY",C$251:C$1260)</f>
        <v>0</v>
      </c>
      <c r="D105" s="216">
        <f>SUMIF($A$251:$A$1260,"MINIMUM COMPETENCY",D$251:D$1260)</f>
        <v>0</v>
      </c>
      <c r="E105" s="216">
        <f>SUMIF($A$251:$A$1260,"MINIMUM COMPETENCY",E$251:E$1260)</f>
        <v>0</v>
      </c>
    </row>
    <row r="106" spans="1:5" x14ac:dyDescent="0.15">
      <c r="A106" s="1" t="s">
        <v>441</v>
      </c>
      <c r="B106" s="126">
        <f>SUMIF($A$251:$A$1260,"IMIMEMO",B$251:B$1260)</f>
        <v>300000</v>
      </c>
      <c r="C106" s="202">
        <f>SUMIF($A$251:$A$1260,"IMIMEMO",C$251:C$1260)</f>
        <v>300000</v>
      </c>
      <c r="D106" s="7">
        <f>SUMIF($A$251:$A$1260,"IMIMEMO",D$251:D$1260)</f>
        <v>317400</v>
      </c>
      <c r="E106" s="7">
        <f>SUMIF($A$251:$A$1260,"IMIMEMO",E$251:E$1260)</f>
        <v>335800</v>
      </c>
    </row>
    <row r="107" spans="1:5" x14ac:dyDescent="0.15">
      <c r="A107" s="1" t="s">
        <v>255</v>
      </c>
      <c r="B107" s="126">
        <f>SUMIF($A$251:$A$1260,"MUNICIPAL HEALTH OPERATIONAL COSTS",B$251:B$1260)</f>
        <v>504000</v>
      </c>
      <c r="C107" s="202">
        <f>SUMIF($A$251:$A$1260,"MUNICIPAL HEALTH OPERATIONAL COSTS",C$251:C$1260)</f>
        <v>500000</v>
      </c>
      <c r="D107" s="7">
        <f>SUMIF($A$251:$A$1260,"MUNICIPAL HEALTH OPERATIONAL COSTS",D$251:D$1260)</f>
        <v>529000</v>
      </c>
      <c r="E107" s="7">
        <f>SUMIF($A$251:$A$1260,"MUNICIPAL HEALTH OPERATIONAL COSTS",E$251:E$1260)</f>
        <v>559700</v>
      </c>
    </row>
    <row r="108" spans="1:5" x14ac:dyDescent="0.15">
      <c r="A108" s="1" t="s">
        <v>185</v>
      </c>
      <c r="B108" s="126">
        <f>SUMIF($A$251:$A$1260,"OFFICE RENTAL",B$251:B$1260)</f>
        <v>0</v>
      </c>
      <c r="C108" s="202">
        <f>SUMIF($A$251:$A$1260,"OFFICE RENTAL",C$251:C$1260)</f>
        <v>0</v>
      </c>
      <c r="D108" s="7">
        <f>SUMIF($A$251:$A$1260,"OFFICE RENTAL",D$251:D$1260)</f>
        <v>0</v>
      </c>
      <c r="E108" s="7">
        <f>SUMIF($A$251:$A$1260,"OFFICE RENTAL",E$251:E$1260)</f>
        <v>0</v>
      </c>
    </row>
    <row r="109" spans="1:5" x14ac:dyDescent="0.15">
      <c r="A109" s="1" t="s">
        <v>110</v>
      </c>
      <c r="B109" s="126">
        <f>SUMIF($A$251:$A$1260,"PMS OPERATIONAL COSTS-EDM FUNDS",B$251:B$1260)</f>
        <v>0</v>
      </c>
      <c r="C109" s="202">
        <f>SUMIF($A$251:$A$1260,"PMS OPERATIONAL COSTS-EDM FUNDS",C$251:C$1260)</f>
        <v>420000</v>
      </c>
      <c r="D109" s="7">
        <f>SUMIF($A$251:$A$1260,"PMS OPERATIONAL COSTS-EDM FUNDS",D$251:D$1260)</f>
        <v>444400</v>
      </c>
      <c r="E109" s="7">
        <f>SUMIF($A$251:$A$1260,"PMS OPERATIONAL COSTS-EDM FUNDS",E$251:E$1260)</f>
        <v>470200</v>
      </c>
    </row>
    <row r="110" spans="1:5" x14ac:dyDescent="0.15">
      <c r="A110" s="1" t="s">
        <v>186</v>
      </c>
      <c r="B110" s="126">
        <f>SUMIF($A$251:$A$1260,"POST BAG AND POST BOX RENTAL",B$251:B$1260)</f>
        <v>4192</v>
      </c>
      <c r="C110" s="202">
        <f>SUMIF($A$251:$A$1260,"POST BAG AND POST BOX RENTAL",C$251:C$1260)</f>
        <v>5000</v>
      </c>
      <c r="D110" s="7">
        <f>SUMIF($A$251:$A$1260,"POST BAG AND POST BOX RENTAL",D$251:D$1260)</f>
        <v>5300</v>
      </c>
      <c r="E110" s="7">
        <f>SUMIF($A$251:$A$1260,"POST BAG AND POST BOX RENTAL",E$251:E$1260)</f>
        <v>5600</v>
      </c>
    </row>
    <row r="111" spans="1:5" x14ac:dyDescent="0.15">
      <c r="A111" s="1" t="s">
        <v>187</v>
      </c>
      <c r="B111" s="126">
        <f>SUMIF($A$251:$A$1260,"POSTAGE AND STAMPS",B$251:B$1260)</f>
        <v>8947</v>
      </c>
      <c r="C111" s="202">
        <f>SUMIF($A$251:$A$1260,"POSTAGE AND STAMPS",C$251:C$1260)</f>
        <v>8887.0400000000009</v>
      </c>
      <c r="D111" s="7">
        <f>SUMIF($A$251:$A$1260,"POSTAGE AND STAMPS",D$251:D$1260)</f>
        <v>9400</v>
      </c>
      <c r="E111" s="7">
        <f>SUMIF($A$251:$A$1260,"POSTAGE AND STAMPS",E$251:E$1260)</f>
        <v>9900</v>
      </c>
    </row>
    <row r="112" spans="1:5" x14ac:dyDescent="0.15">
      <c r="A112" s="1" t="s">
        <v>195</v>
      </c>
      <c r="B112" s="186">
        <f>SUMIF($A$251:$A$1260,"PRINTING AND STATIONERY",B$251:B$1260)</f>
        <v>1270485</v>
      </c>
      <c r="C112" s="204">
        <f>SUMIF($A$251:$A$1260,"PRINTING AND STATIONERY",C$251:C$1260)</f>
        <v>1316116.5</v>
      </c>
      <c r="D112" s="12">
        <f>SUMIF($A$251:$A$1260,"PRINTING AND STATIONERY",D$251:D$1260)</f>
        <v>1392600</v>
      </c>
      <c r="E112" s="12">
        <f>SUMIF($A$251:$A$1260,"PRINTING AND STATIONERY",E$251:E$1260)</f>
        <v>1473400</v>
      </c>
    </row>
    <row r="113" spans="1:6" x14ac:dyDescent="0.15">
      <c r="A113" s="1" t="s">
        <v>254</v>
      </c>
      <c r="B113" s="126">
        <f>SUMIF($A$251:$A$1260,"PROFESSIONAL SERVICES",B$251:B$1260)</f>
        <v>500000</v>
      </c>
      <c r="C113" s="202">
        <f>SUMIF($A$251:$A$1260,"PROFESSIONAL SERVICES",C$251:C$1260)</f>
        <v>300000</v>
      </c>
      <c r="D113" s="7">
        <f>SUMIF($A$251:$A$1260,"PROFESSIONAL SERVICES",D$251:D$1260)</f>
        <v>317400</v>
      </c>
      <c r="E113" s="7">
        <f>SUMIF($A$251:$A$1260,"PROFESSIONAL SERVICES",E$251:E$1260)</f>
        <v>335800</v>
      </c>
    </row>
    <row r="114" spans="1:6" x14ac:dyDescent="0.15">
      <c r="A114" s="1" t="s">
        <v>36</v>
      </c>
      <c r="B114" s="126">
        <f>SUMIF($A$251:$A$1260,"PROGRAMS AND CAMPAIGNS",B$251:B$1260)</f>
        <v>650000</v>
      </c>
      <c r="C114" s="202">
        <f>SUMIF($A$251:$A$1260,"PROGRAMS AND CAMPAIGNS",C$251:C$1260)</f>
        <v>650000</v>
      </c>
      <c r="D114" s="7">
        <f>SUMIF($A$251:$A$1260,"PROGRAMS AND CAMPAIGNS",D$251:D$1260)</f>
        <v>687700</v>
      </c>
      <c r="E114" s="7">
        <f>SUMIF($A$251:$A$1260,"PROGRAMS AND CAMPAIGNS",E$251:E$1260)</f>
        <v>727600</v>
      </c>
    </row>
    <row r="115" spans="1:6" x14ac:dyDescent="0.15">
      <c r="A115" s="1" t="s">
        <v>188</v>
      </c>
      <c r="B115" s="126">
        <f>SUMIF($A$251:$A$1260,"PROTECTIVE CLOTHING",B$251:B$1260)</f>
        <v>34357</v>
      </c>
      <c r="C115" s="202">
        <f>SUMIF($A$251:$A$1260,"PROTECTIVE CLOTHING",C$251:C$1260)</f>
        <v>110000</v>
      </c>
      <c r="D115" s="7">
        <f>SUMIF($A$251:$A$1260,"PROTECTIVE CLOTHING",D$251:D$1260)</f>
        <v>116400</v>
      </c>
      <c r="E115" s="7">
        <f>SUMIF($A$251:$A$1260,"PROTECTIVE CLOTHING",E$251:E$1260)</f>
        <v>123200</v>
      </c>
    </row>
    <row r="116" spans="1:6" x14ac:dyDescent="0.15">
      <c r="A116" s="1" t="s">
        <v>190</v>
      </c>
      <c r="B116" s="126">
        <f>SUMIF($A$251:$A$1260,"REFERENCE BOOKS &amp; PERIODICALS",B$251:B$1260)</f>
        <v>0</v>
      </c>
      <c r="C116" s="202">
        <f>SUMIF($A$251:$A$1260,"REFERENCE BOOKS &amp; PERIODICALS",C$251:C$1260)</f>
        <v>0</v>
      </c>
      <c r="D116" s="7">
        <f>SUMIF($A$251:$A$1260,"REFERENCE BOOKS &amp; PERIODICALS",D$251:D$1260)</f>
        <v>0</v>
      </c>
      <c r="E116" s="7">
        <f>SUMIF($A$251:$A$1260,"REFERENCE BOOKS &amp; PERIODICALS",E$251:E$1260)</f>
        <v>0</v>
      </c>
    </row>
    <row r="117" spans="1:6" x14ac:dyDescent="0.15">
      <c r="A117" s="1" t="s">
        <v>424</v>
      </c>
      <c r="B117" s="126">
        <f>SUMIF($A$251:$A$1260,"RESOURCE &amp; INFORMATION CENTRE",B$251:B$1260)</f>
        <v>83840</v>
      </c>
      <c r="C117" s="202">
        <f>SUMIF($A$251:$A$1260,"RESOURCE &amp; INFORMATION CENTRE",C$251:C$1260)</f>
        <v>50000</v>
      </c>
      <c r="D117" s="216">
        <f>SUMIF($A$251:$A$1260,"RESOURCE &amp; INFORMATION CENTRE",D$251:D$1260)</f>
        <v>52900</v>
      </c>
      <c r="E117" s="216">
        <f>SUMIF($A$251:$A$1260,"RESOURCE &amp; INFORMATION CENTRE",E$251:E$1260)</f>
        <v>56000</v>
      </c>
    </row>
    <row r="118" spans="1:6" x14ac:dyDescent="0.15">
      <c r="A118" s="1" t="s">
        <v>137</v>
      </c>
      <c r="B118" s="126">
        <f>SUMIF($A$251:$A$1260,"RELOCATION &amp; RECRUITMENT COSTS",B$251:B$1260)</f>
        <v>100608</v>
      </c>
      <c r="C118" s="202">
        <f>SUMIF($A$251:$A$1260,"RELOCATION &amp; RECRUITMENT COSTS",C$251:C$1260)</f>
        <v>0</v>
      </c>
      <c r="D118" s="7">
        <f>SUMIF($A$251:$A$1260,"RELOCATION &amp; RECRUITMENT COSTS",D$251:D$1260)</f>
        <v>0</v>
      </c>
      <c r="E118" s="7">
        <f>SUMIF($A$251:$A$1260,"RELOCATION &amp; RECRUITMENT COSTS",E$251:E$1260)</f>
        <v>0</v>
      </c>
    </row>
    <row r="119" spans="1:6" x14ac:dyDescent="0.15">
      <c r="A119" s="1" t="s">
        <v>459</v>
      </c>
      <c r="B119" s="126">
        <f>SUMIF($A$251:$A$1260,"RISK ASSESSMENT",B$251:B$1260)</f>
        <v>126960</v>
      </c>
      <c r="C119" s="202">
        <f>SUMIF($A$251:$A$1260,"RISK ASSESSMENT",C$251:C$1260)</f>
        <v>0</v>
      </c>
      <c r="D119" s="216">
        <f>SUMIF($A$251:$A$1260,"RISK ASSESSMENT",D$251:D$1260)</f>
        <v>0</v>
      </c>
      <c r="E119" s="216">
        <f>SUMIF($A$251:$A$1260,"RISK ASSESSMENT",E$251:E$1260)</f>
        <v>0</v>
      </c>
    </row>
    <row r="120" spans="1:6" x14ac:dyDescent="0.15">
      <c r="A120" s="1" t="s">
        <v>465</v>
      </c>
      <c r="B120" s="126">
        <f>SUMIF($A$251:$A$1260,"DISASTER RISK ASSESSMENT",B$251:B$1260)</f>
        <v>0</v>
      </c>
      <c r="C120" s="202">
        <f>SUMIF($A$251:$A$1260,"DISASTER RISK PROFILLING",C$251:C$1260)</f>
        <v>0</v>
      </c>
      <c r="D120" s="7">
        <f>SUMIF($A$251:$A$1260,"DISASTER RISK ASSESSMENT",D$251:D$1260)</f>
        <v>0</v>
      </c>
      <c r="E120" s="7">
        <f>SUMIF($A$251:$A$1260,"DISASTER RISK ASSESSMENT",E$251:E$1260)</f>
        <v>0</v>
      </c>
    </row>
    <row r="121" spans="1:6" x14ac:dyDescent="0.15">
      <c r="A121" s="1" t="s">
        <v>321</v>
      </c>
      <c r="B121" s="126">
        <f>SUMIF($A$251:$A$1260,"RATES",B$251:B$1260)</f>
        <v>1613920</v>
      </c>
      <c r="C121" s="202">
        <f>SUMIF($A$251:$A$1260,"RATES",C$251:C$1260)</f>
        <v>0</v>
      </c>
      <c r="D121" s="7">
        <f>SUMIF($A$251:$A$1260,"RATES",D$251:D$1260)</f>
        <v>0</v>
      </c>
      <c r="E121" s="7">
        <f>SUMIF($A$251:$A$1260,"RATES",E$251:E$1260)</f>
        <v>0</v>
      </c>
    </row>
    <row r="122" spans="1:6" x14ac:dyDescent="0.15">
      <c r="A122" s="9" t="s">
        <v>438</v>
      </c>
      <c r="B122" s="126">
        <f>SUMIF($A$251:$A$1260,"IT OUTSOURCE AUDIT",B$251:B$1260)</f>
        <v>500000</v>
      </c>
      <c r="C122" s="202">
        <f>SUMIF($A$251:$A$1260,"IT OUTSOURCE AUDIT",C$251:C$1260)</f>
        <v>300000</v>
      </c>
      <c r="D122" s="216">
        <f>SUMIF($A$251:$A$1260,"IT OUTSOURCE AUDIT",D$251:D$1260)</f>
        <v>317400</v>
      </c>
      <c r="E122" s="216">
        <f>SUMIF($A$251:$A$1260,"IT OUTSOURCE AUDIT",E$251:E$1260)</f>
        <v>335800</v>
      </c>
    </row>
    <row r="123" spans="1:6" x14ac:dyDescent="0.15">
      <c r="A123" s="1" t="s">
        <v>5</v>
      </c>
      <c r="B123" s="126">
        <f>SUMIF($A$251:$A$1260,"SUPPORT TO LOCAL INITIATIVES",B$251:B$1260)</f>
        <v>0</v>
      </c>
      <c r="C123" s="202">
        <f>SUMIF($A$251:$A$1260,"SUPPORT TO LOCAL INITIATIVES",C$251:C$1260)</f>
        <v>0</v>
      </c>
      <c r="D123" s="7">
        <f>SUMIF($A$251:$A$1260,"SUPPORT TO LOCAL INITIATIVES",D$251:D$1260)</f>
        <v>0</v>
      </c>
      <c r="E123" s="7">
        <f>SUMIF($A$251:$A$1260,"SUPPORT TO LOCAL INITIATIVES",E$251:E$1260)</f>
        <v>0</v>
      </c>
    </row>
    <row r="124" spans="1:6" x14ac:dyDescent="0.15">
      <c r="A124" s="1" t="s">
        <v>428</v>
      </c>
      <c r="B124" s="126">
        <f>SUMIF($A$251:$A$1260,"SAFETY AMBASSADORS",B$251:B$1260)</f>
        <v>3800000</v>
      </c>
      <c r="C124" s="202">
        <f>SUMIF($A$251:$A$1260,"SAFETY AMBASSADORS",C$251:C$1260)</f>
        <v>4200000</v>
      </c>
      <c r="D124" s="216">
        <f>SUMIF($A$251:$A$1260,"SAFETY AMBASSADORS",D$251:D$1260)</f>
        <v>4443600</v>
      </c>
      <c r="E124" s="216">
        <f>SUMIF($A$251:$A$1260,"SAFETY AMBASSADORS",E$251:E$1260)</f>
        <v>4701300</v>
      </c>
    </row>
    <row r="125" spans="1:6" x14ac:dyDescent="0.15">
      <c r="A125" s="1" t="s">
        <v>305</v>
      </c>
      <c r="B125" s="126">
        <f>SUMIF($A$251:$A$1260,"SKILLS DEVELOPMENT: EMPLOYEES",B$251:B$1260)</f>
        <v>900000</v>
      </c>
      <c r="C125" s="202">
        <f>SUMIF($A$251:$A$1260,"SKILLS DEVELOPMENT: EMPLOYEES",C$251:C$1260)</f>
        <v>900000</v>
      </c>
      <c r="D125" s="7">
        <f>SUMIF($A$251:$A$1260,"SKILLS DEVELOPMENT: EMPLOYEES",D$251:D$1260)</f>
        <v>952200</v>
      </c>
      <c r="E125" s="7">
        <f>SUMIF($A$251:$A$1260,"SKILLS DEVELOPMENT: EMPLOYEES",E$251:E$1260)</f>
        <v>1007400</v>
      </c>
      <c r="F125" s="33"/>
    </row>
    <row r="126" spans="1:6" x14ac:dyDescent="0.15">
      <c r="A126" s="1" t="s">
        <v>303</v>
      </c>
      <c r="B126" s="126">
        <f>SUMIF($A$251:$A$1260,"SKILLS DEVELOPMENT LEVY",B$251:B$1260)</f>
        <v>91192</v>
      </c>
      <c r="C126" s="202">
        <f>SUMIF($A$251:$A$1260,"SKILLS DEVELOPMENT LEVY",C$251:C$1260)</f>
        <v>96663.51999999999</v>
      </c>
      <c r="D126" s="7">
        <f>SUMIF($A$251:$A$1260,"SKILLS DEVELOPMENT LEVY",D$251:D$1260)</f>
        <v>102300</v>
      </c>
      <c r="E126" s="7">
        <f>SUMIF($A$251:$A$1260,"SKILLS DEVELOPMENT LEVY",E$251:E$1260)</f>
        <v>108300</v>
      </c>
      <c r="F126" s="33"/>
    </row>
    <row r="127" spans="1:6" x14ac:dyDescent="0.15">
      <c r="A127" s="1" t="s">
        <v>570</v>
      </c>
      <c r="B127" s="126">
        <f>SUMIF($A$251:$A$1260,"SECURITY SERVICES",B$251:B$1260)</f>
        <v>1200000</v>
      </c>
      <c r="C127" s="202">
        <f>SUMIF($A$251:$A$1260,"SECURITY SERVICES",C$251:C$1260)</f>
        <v>1320000</v>
      </c>
      <c r="D127" s="7">
        <f>SUMIF($A$251:$A$1260,"SECURITY SERVICES",D$251:D$1260)</f>
        <v>1396600</v>
      </c>
      <c r="E127" s="7">
        <f>SUMIF($A$251:$A$1260,"SECURITY SERVICES",E$251:E$1260)</f>
        <v>1477600</v>
      </c>
      <c r="F127" s="33"/>
    </row>
    <row r="128" spans="1:6" x14ac:dyDescent="0.15">
      <c r="A128" s="1" t="s">
        <v>196</v>
      </c>
      <c r="B128" s="126">
        <f>SUMIF($A$251:$A$1260,"TELEPHONE",B$251:B$1260)</f>
        <v>1323926</v>
      </c>
      <c r="C128" s="202">
        <f>SUMIF($A$251:$A$1260,"TELEPHONE",C$251:C$1260)</f>
        <v>1394474.52</v>
      </c>
      <c r="D128" s="7">
        <f>SUMIF($A$251:$A$1260,"TELEPHONE",D$251:D$1260)</f>
        <v>1475400</v>
      </c>
      <c r="E128" s="7">
        <f>SUMIF($A$251:$A$1260,"TELEPHONE",E$251:E$1260)</f>
        <v>1561000</v>
      </c>
      <c r="F128" s="33"/>
    </row>
    <row r="129" spans="1:6" x14ac:dyDescent="0.15">
      <c r="A129" s="1" t="s">
        <v>298</v>
      </c>
      <c r="B129" s="126">
        <f>SUMIF($A$251:$A$1260,"TRADE ZONES",B$251:B$1260)</f>
        <v>0</v>
      </c>
      <c r="C129" s="202">
        <f>SUMIF($A$251:$A$1260,"TRADE ZONES",C$251:C$1260)</f>
        <v>0</v>
      </c>
      <c r="D129" s="7">
        <f>SUMIF($A$251:$A$1260,"TRADE ZONES",D$251:D$1260)</f>
        <v>0</v>
      </c>
      <c r="E129" s="7">
        <f>SUMIF($A$251:$A$1260,"TRADE ZONES",E$251:E$1260)</f>
        <v>0</v>
      </c>
      <c r="F129" s="33"/>
    </row>
    <row r="130" spans="1:6" x14ac:dyDescent="0.15">
      <c r="A130" s="1" t="s">
        <v>191</v>
      </c>
      <c r="B130" s="126">
        <f>SUMIF($A$251:$A$1260,"TRAVELING AND SUBSISTANCE",B$251:B$1260)</f>
        <v>5059856</v>
      </c>
      <c r="C130" s="202">
        <f>SUMIF($A$251:$A$1260,"TRAVELING AND SUBSISTANCE",C$251:C$1260)</f>
        <v>4968380.3</v>
      </c>
      <c r="D130" s="7">
        <f>SUMIF($A$251:$A$1260,"TRAVELING AND SUBSISTANCE",D$251:D$1260)</f>
        <v>5256400</v>
      </c>
      <c r="E130" s="7">
        <f>SUMIF($A$251:$A$1260,"TRAVELING AND SUBSISTANCE",E$251:E$1260)</f>
        <v>5729000</v>
      </c>
      <c r="F130" s="33"/>
    </row>
    <row r="131" spans="1:6" s="9" customFormat="1" x14ac:dyDescent="0.15">
      <c r="A131" s="1" t="s">
        <v>192</v>
      </c>
      <c r="B131" s="126">
        <f>SUMIF($A$251:$A$1260,"VEHICLES LICENSES",B$251:B$1260)</f>
        <v>18181</v>
      </c>
      <c r="C131" s="202">
        <f>SUMIF($A$251:$A$1260,"VEHICLES LICENSES",C$251:C$1260)</f>
        <v>19271.86</v>
      </c>
      <c r="D131" s="7">
        <f>SUMIF($A$251:$A$1260,"VEHICLES LICENSES",D$251:D$1260)</f>
        <v>20400</v>
      </c>
      <c r="E131" s="7">
        <f>SUMIF($A$251:$A$1260,"VEHICLES LICENSES",E$251:E$1260)</f>
        <v>21600</v>
      </c>
      <c r="F131" s="33"/>
    </row>
    <row r="132" spans="1:6" s="9" customFormat="1" x14ac:dyDescent="0.15">
      <c r="A132" s="1" t="s">
        <v>320</v>
      </c>
      <c r="B132" s="126">
        <f>SUMIF($A$251:$A$1260,"WATER",B$251:B$1260)</f>
        <v>300000</v>
      </c>
      <c r="C132" s="202">
        <f>SUMIF($A$251:$A$1260,"WATER",C$251:C$1260)</f>
        <v>0</v>
      </c>
      <c r="D132" s="7">
        <f>SUMIF($A$251:$A$1260,"WATER",D$251:D$1260)</f>
        <v>0</v>
      </c>
      <c r="E132" s="7">
        <f>SUMIF($A$251:$A$1260,"WATER",E$251:E$1260)</f>
        <v>0</v>
      </c>
      <c r="F132" s="33"/>
    </row>
    <row r="133" spans="1:6" s="9" customFormat="1" x14ac:dyDescent="0.15">
      <c r="A133" s="1" t="s">
        <v>3</v>
      </c>
      <c r="B133" s="126">
        <f>SUMIF($A$251:$A$1260,"WEBSITE MAINTANANCE",B$251:B$1260)</f>
        <v>0</v>
      </c>
      <c r="C133" s="202">
        <f>SUMIF($A$251:$A$1260,"WEBSITE MAINTANANCE",C$251:C$1260)</f>
        <v>0</v>
      </c>
      <c r="D133" s="7">
        <f>SUMIF($A$251:$A$1260,"WEBSITE MAINTANANCE",D$251:D$1260)</f>
        <v>0</v>
      </c>
      <c r="E133" s="7">
        <f>SUMIF($A$251:$A$1260,"WEBSITE MAINTANANCE",E$251:E$1260)</f>
        <v>0</v>
      </c>
      <c r="F133" s="33"/>
    </row>
    <row r="134" spans="1:6" x14ac:dyDescent="0.15">
      <c r="A134" s="1" t="s">
        <v>309</v>
      </c>
      <c r="B134" s="126">
        <f>SUMIF($A$251:$A$1260,"VOLUNTEER PROGRAMME",B$251:B$1260)</f>
        <v>800000</v>
      </c>
      <c r="C134" s="202">
        <f>SUMIF($A$251:$A$1260,"VOLUNTEER PROGRAMME",C$251:C$1260)</f>
        <v>800000</v>
      </c>
      <c r="D134" s="7">
        <f>SUMIF($A$251:$A$1260,"VOLUNTEER PROGRAMME",D$251:D$1260)</f>
        <v>846400</v>
      </c>
      <c r="E134" s="7">
        <f>SUMIF($A$251:$A$1260,"VOLUNTEER PROGRAMME",E$251:E$1260)</f>
        <v>895500</v>
      </c>
      <c r="F134" s="33"/>
    </row>
    <row r="135" spans="1:6" x14ac:dyDescent="0.15">
      <c r="A135" s="1" t="s">
        <v>491</v>
      </c>
      <c r="B135" s="126">
        <f>SUMIF($A$251:$A$1260,"VECTOR CONTROL",B$251:B$1260)</f>
        <v>209600</v>
      </c>
      <c r="C135" s="202">
        <f>SUMIF($A$251:$A$1260,"VECTOR CONTROL",C$251:C$1260)</f>
        <v>200000</v>
      </c>
      <c r="D135" s="7">
        <f>SUMIF($A$251:$A$1260,"VECTOR CONTROL",D$251:D$1260)</f>
        <v>211600</v>
      </c>
      <c r="E135" s="7">
        <f>SUMIF($A$251:$A$1260,"VECTOR CONTROL",E$251:E$1260)</f>
        <v>223900</v>
      </c>
      <c r="F135" s="33"/>
    </row>
    <row r="136" spans="1:6" x14ac:dyDescent="0.15">
      <c r="A136" s="1" t="s">
        <v>314</v>
      </c>
      <c r="B136" s="126">
        <f>SUMIF($A$251:$A$1260,"PLANNING INFORMATION",B$251:B$1260)</f>
        <v>58322</v>
      </c>
      <c r="C136" s="202">
        <f>SUMIF($A$251:$A$1260,"PLANNING INFORMATION",C$251:C$1260)</f>
        <v>0</v>
      </c>
      <c r="D136" s="7">
        <f>SUMIF($A$251:$A$1260,"PLANNING INFORMATION",D$251:D$1260)</f>
        <v>0</v>
      </c>
      <c r="E136" s="7">
        <f>SUMIF($A$251:$A$1260,"PLANNING INFORMATION",E$251:E$1260)</f>
        <v>0</v>
      </c>
      <c r="F136" s="33"/>
    </row>
    <row r="137" spans="1:6" x14ac:dyDescent="0.15">
      <c r="A137" s="1" t="s">
        <v>317</v>
      </c>
      <c r="B137" s="126">
        <f>SUMIF($A$251:$A$1260,"IGR WATER COLLABORATION FORUM",B$251:B$1260)</f>
        <v>8346</v>
      </c>
      <c r="C137" s="202">
        <f>SUMIF($A$251:$A$1260,"IGR WATER COLLABORATION FORUM",C$251:C$1260)</f>
        <v>8846.76</v>
      </c>
      <c r="D137" s="7">
        <f>SUMIF($A$251:$A$1260,"IGR WATER COLLABORATION FORUM",D$251:D$1260)</f>
        <v>9400</v>
      </c>
      <c r="E137" s="7">
        <f>SUMIF($A$251:$A$1260,"IGR WATER COLLABORATION FORUM",E$251:E$1260)</f>
        <v>9900</v>
      </c>
      <c r="F137" s="33"/>
    </row>
    <row r="138" spans="1:6" x14ac:dyDescent="0.15">
      <c r="A138" s="1" t="s">
        <v>315</v>
      </c>
      <c r="B138" s="126">
        <f>SUMIF($A$251:$A$1260,"PROFESSIONAL MEMBERSHIP",B$251:B$1260)</f>
        <v>1216256</v>
      </c>
      <c r="C138" s="202">
        <f>SUMIF($A$251:$A$1260,"PROFESSIONAL MEMBERSHIP",C$251:C$1260)</f>
        <v>1211719.3600000001</v>
      </c>
      <c r="D138" s="7">
        <f>SUMIF($A$251:$A$1260,"PROFESSIONAL MEMBERSHIP",D$251:D$1260)</f>
        <v>1282000</v>
      </c>
      <c r="E138" s="7">
        <f>SUMIF($A$251:$A$1260,"PROFESSIONAL MEMBERSHIP",E$251:E$1260)</f>
        <v>1356300</v>
      </c>
      <c r="F138" s="33"/>
    </row>
    <row r="139" spans="1:6" x14ac:dyDescent="0.15">
      <c r="A139" s="1" t="s">
        <v>323</v>
      </c>
      <c r="B139" s="126">
        <f>SUMIF($A$251:$A$1260,"MORAL REGENERATION",B$251:B$1260)</f>
        <v>264882</v>
      </c>
      <c r="C139" s="202">
        <f>SUMIF($A$251:$A$1260,"MORAL REGENERATION",C$251:C$1260)</f>
        <v>100000</v>
      </c>
      <c r="D139" s="7">
        <f>SUMIF($A$251:$A$1260,"MORAL REGENERATION",D$251:D$1260)</f>
        <v>105800</v>
      </c>
      <c r="E139" s="7">
        <f>SUMIF($A$251:$A$1260,"MORAL REGENERATION",E$251:E$1260)</f>
        <v>111900</v>
      </c>
      <c r="F139" s="33"/>
    </row>
    <row r="140" spans="1:6" x14ac:dyDescent="0.15">
      <c r="A140" s="1" t="s">
        <v>565</v>
      </c>
      <c r="B140" s="172">
        <f>SUMIF($A$251:$A$1260,"PUBLIC PARTICIPATION AND CONSULTATION PROCESS ",B$251:B$1260)</f>
        <v>800000</v>
      </c>
      <c r="C140" s="202">
        <f>SUMIF($A$251:$A$1260,"PUBLIC PARTICIPATION AND CONSULTATION PROCESS ",C$251:C$1260)</f>
        <v>900000</v>
      </c>
      <c r="D140" s="216">
        <f>SUMIF($A$251:$A$1260,"PUBLIC PARTICIPATION AND CONSULTATION PROCESS ",D$251:D$1260)</f>
        <v>952200</v>
      </c>
      <c r="E140" s="216">
        <f>SUMIF($A$251:$A$1260,"PUBLIC PARTICIPATION AND CONSULTATION PROCESS ",E$251:E$1260)</f>
        <v>1007600</v>
      </c>
      <c r="F140" s="33"/>
    </row>
    <row r="141" spans="1:6" x14ac:dyDescent="0.15">
      <c r="A141" s="1" t="s">
        <v>324</v>
      </c>
      <c r="B141" s="126">
        <f>SUMIF($A$251:$A$1260,"EDM SPEAKERS FORUM",B$251:B$1260)</f>
        <v>104800</v>
      </c>
      <c r="C141" s="202">
        <f>SUMIF($A$251:$A$1260,"EDM SPEAKERS FORUM",C$251:C$1260)</f>
        <v>0</v>
      </c>
      <c r="D141" s="7">
        <f>SUMIF($A$251:$A$1260,"EDM SPEAKERS FORUM",D$251:D$1260)</f>
        <v>0</v>
      </c>
      <c r="E141" s="7">
        <f>SUMIF($A$251:$A$1260,"EDM SPEAKERS FORUM",E$251:E$1260)</f>
        <v>0</v>
      </c>
      <c r="F141" s="33"/>
    </row>
    <row r="142" spans="1:6" x14ac:dyDescent="0.15">
      <c r="A142" s="1" t="s">
        <v>348</v>
      </c>
      <c r="B142" s="126">
        <f>SUMIF($A$251:$A$1260,"IMPLEMENTATION OF CORPORATE GIS",B$251:B$1260)</f>
        <v>0</v>
      </c>
      <c r="C142" s="202">
        <f>SUMIF($A$251:$A$1260,"IMPLEMENTATION OF CORPORATE GIS",C$251:C$1260)</f>
        <v>0</v>
      </c>
      <c r="D142" s="7">
        <f>SUMIF($A$251:$A$1260,"IMPLEMENTATION OF CORPORATE GIS",D$251:D$1260)</f>
        <v>0</v>
      </c>
      <c r="E142" s="7">
        <f>SUMIF($A$251:$A$1260,"IMPLEMENTATION OF CORPORATE GIS",E$251:E$1260)</f>
        <v>0</v>
      </c>
      <c r="F142" s="33"/>
    </row>
    <row r="143" spans="1:6" x14ac:dyDescent="0.15">
      <c r="A143" s="1" t="s">
        <v>433</v>
      </c>
      <c r="B143" s="126">
        <f>SUMIF($A$251:$A$1260,"INTERGRATION OF GIS SYSTEM WITH BUSINESS SYSTEMS",B$251:B$1260)</f>
        <v>0</v>
      </c>
      <c r="C143" s="202">
        <f>SUMIF($A$251:$A$1260,"INTERGRATION OF GIS SYSTEM WITH BUSINESS SYSTEMS",C$251:C$1260)</f>
        <v>0</v>
      </c>
      <c r="D143" s="172">
        <f>SUMIF($A$251:$A$1260,"INTERGRATION OF GIS SYSTEM WITH BUSINESS SYSTEMS",D$251:D$1260)</f>
        <v>0</v>
      </c>
      <c r="E143" s="172">
        <f>SUMIF($A$251:$A$1260,"INTERGRATION OF GIS SYSTEM WITH BUSINESS SYSTEMS",E$251:E$1260)</f>
        <v>0</v>
      </c>
      <c r="F143" s="33"/>
    </row>
    <row r="144" spans="1:6" x14ac:dyDescent="0.15">
      <c r="A144" s="1" t="s">
        <v>349</v>
      </c>
      <c r="B144" s="126">
        <f>SUMIF($A$251:$A$1260,"GIS BASELINE ACQUISITION",B$251:B$1260)</f>
        <v>0</v>
      </c>
      <c r="C144" s="202">
        <f>SUMIF($A$251:$A$1260,"GIS BASELINE ACQUISITION",C$251:C$1260)</f>
        <v>0</v>
      </c>
      <c r="D144" s="7">
        <f>SUMIF($A$251:$A$1260,"GIS BASELINE ACQUISITION",D$251:D$1260)</f>
        <v>0</v>
      </c>
      <c r="E144" s="7">
        <f>SUMIF($A$251:$A$1260,"GIS BASELINE ACQUISITION",E$251:E$1260)</f>
        <v>0</v>
      </c>
      <c r="F144" s="33"/>
    </row>
    <row r="145" spans="1:6" x14ac:dyDescent="0.15">
      <c r="A145" s="1" t="s">
        <v>350</v>
      </c>
      <c r="B145" s="126">
        <f>SUMIF($A$251:$A$1260,"AIR QUALITY MANAGEMENT PLAN",B$251:B$1260)</f>
        <v>0</v>
      </c>
      <c r="C145" s="202">
        <f>SUMIF($A$251:$A$1260,"AIR QUALITY MANAGEMENT PLAN",C$251:C$1260)</f>
        <v>0</v>
      </c>
      <c r="D145" s="7">
        <f>SUMIF($A$251:$A$1260,"AIR QUALITY MANAGEMENT PLAN",D$251:D$1260)</f>
        <v>0</v>
      </c>
      <c r="E145" s="7">
        <f>SUMIF($A$251:$A$1260,"AIR QUALITY MANAGEMENT PLAN",E$251:E$1260)</f>
        <v>0</v>
      </c>
      <c r="F145" s="33"/>
    </row>
    <row r="146" spans="1:6" x14ac:dyDescent="0.15">
      <c r="A146" s="1" t="s">
        <v>435</v>
      </c>
      <c r="B146" s="126">
        <v>0</v>
      </c>
      <c r="C146" s="202"/>
      <c r="D146" s="172"/>
      <c r="E146" s="172"/>
      <c r="F146" s="33"/>
    </row>
    <row r="147" spans="1:6" x14ac:dyDescent="0.15">
      <c r="A147" s="1" t="s">
        <v>351</v>
      </c>
      <c r="B147" s="126">
        <f>SUMIF($A$251:$A$1260,"DISASTER MANAGEMENT PLAN",B$251:B$1260)</f>
        <v>0</v>
      </c>
      <c r="C147" s="202">
        <f>SUMIF($A$251:$A$1260,"DISASTER MANAGEMENT PLAN",C$251:C$1260)</f>
        <v>0</v>
      </c>
      <c r="D147" s="7">
        <f>SUMIF($A$251:$A$1260,"DISASTER MANAGEMENT PLAN",D$251:D$1260)</f>
        <v>0</v>
      </c>
      <c r="E147" s="7">
        <f>SUMIF($A$251:$A$1260,"DISASTER MANAGEMENT PLAN",E$251:E$1260)</f>
        <v>0</v>
      </c>
      <c r="F147" s="33"/>
    </row>
    <row r="148" spans="1:6" x14ac:dyDescent="0.15">
      <c r="A148" s="1" t="s">
        <v>352</v>
      </c>
      <c r="B148" s="126">
        <f>SUMIF($A$251:$A$1260,"INDIVIDUAL PMS",B$251:B$1260)</f>
        <v>500000</v>
      </c>
      <c r="C148" s="202">
        <f>SUMIF($A$251:$A$1260,"INDIVIDUAL PMS",C$251:C$1260)</f>
        <v>100000</v>
      </c>
      <c r="D148" s="7">
        <f>SUMIF($A$251:$A$1260,"INDIVIDUAL PMS",D$251:D$1260)</f>
        <v>105800</v>
      </c>
      <c r="E148" s="7">
        <f>SUMIF($A$251:$A$1260,"INDIVIDUAL PMS",E$251:E$1260)</f>
        <v>111900</v>
      </c>
      <c r="F148" s="33"/>
    </row>
    <row r="149" spans="1:6" x14ac:dyDescent="0.15">
      <c r="A149" s="1" t="s">
        <v>353</v>
      </c>
      <c r="B149" s="126">
        <f>SUMIF($A$251:$A$1260,"METRO FM AWARDS",B$251:B$1260)</f>
        <v>0</v>
      </c>
      <c r="C149" s="202">
        <f>SUMIF($A$251:$A$1260,"METRO FM AWARDS",C$251:C$1260)</f>
        <v>0</v>
      </c>
      <c r="D149" s="7">
        <f>SUMIF($A$251:$A$1260,"METRO FM AWARDS",D$251:D$1260)</f>
        <v>0</v>
      </c>
      <c r="E149" s="7">
        <f>SUMIF($A$251:$A$1260,"METRO FM AWARDS",E$251:E$1260)</f>
        <v>0</v>
      </c>
      <c r="F149" s="33"/>
    </row>
    <row r="150" spans="1:6" x14ac:dyDescent="0.15">
      <c r="A150" s="1" t="s">
        <v>354</v>
      </c>
      <c r="B150" s="126">
        <f>SUMIF($A$251:$A$1260,"PROGRAMMES AND SUPPORT",B$251:B$1260)</f>
        <v>0</v>
      </c>
      <c r="C150" s="202">
        <f>SUMIF($A$251:$A$1260,"PROGRAMMES AND SUPPORT",C$251:C$1260)</f>
        <v>0</v>
      </c>
      <c r="D150" s="7">
        <f>SUMIF($A$251:$A$1260,"PROGRAMMES AND SUPPORT",D$251:D$1260)</f>
        <v>0</v>
      </c>
      <c r="E150" s="7">
        <f>SUMIF($A$251:$A$1260,"PROGRAMMES AND SUPPORT",E$251:E$1260)</f>
        <v>0</v>
      </c>
      <c r="F150" s="33"/>
    </row>
    <row r="151" spans="1:6" x14ac:dyDescent="0.15">
      <c r="A151" s="1" t="s">
        <v>325</v>
      </c>
      <c r="B151" s="126">
        <f>SUMIF($A$251:$A$1260,"CAPACITY BUILDING (COUNCILLORS)",B$251:B$1260)</f>
        <v>262000</v>
      </c>
      <c r="C151" s="202">
        <f>SUMIF($A$251:$A$1260,"CAPACITY BUILDING (COUNCILLORS)",C$251:C$1260)</f>
        <v>200000</v>
      </c>
      <c r="D151" s="7">
        <f>SUMIF($A$251:$A$1260,"CAPACITY BUILDING (COUNCILLORS)",D$251:D$1260)</f>
        <v>211600</v>
      </c>
      <c r="E151" s="7">
        <f>SUMIF($A$251:$A$1260,"CAPACITY BUILDING (COUNCILLORS)",E$251:E$1260)</f>
        <v>223900</v>
      </c>
      <c r="F151" s="33"/>
    </row>
    <row r="152" spans="1:6" x14ac:dyDescent="0.15">
      <c r="A152" s="1" t="s">
        <v>364</v>
      </c>
      <c r="B152" s="126">
        <f>SUMIF($A$251:$A$1260,"WOMEN'S COUNCIL DIALOGUE",B$251:B$1260)</f>
        <v>300000</v>
      </c>
      <c r="C152" s="202">
        <f>SUMIF($A$251:$A$1260,"WOMEN'S COUNCIL DIALOGUE",C$251:C$1260)</f>
        <v>200000</v>
      </c>
      <c r="D152" s="7">
        <f>SUMIF($A$251:$A$1260,"WOMEN'S COUNCIL DIALOGUE",D$251:D$1260)</f>
        <v>211600</v>
      </c>
      <c r="E152" s="7">
        <f>SUMIF($A$251:$A$1260,"WOMEN'S COUNCIL DIALOGUE",E$251:E$1260)</f>
        <v>223900</v>
      </c>
      <c r="F152" s="33"/>
    </row>
    <row r="153" spans="1:6" x14ac:dyDescent="0.15">
      <c r="A153" s="1" t="s">
        <v>363</v>
      </c>
      <c r="B153" s="126">
        <f>SUMIF($A$251:$A$1260,"DISABILITY PROGRAMMES",B$251:B$1260)</f>
        <v>400000</v>
      </c>
      <c r="C153" s="202">
        <f>SUMIF($A$251:$A$1260,"DISABILITY PROGRAMMES",C$251:C$1260)</f>
        <v>400000</v>
      </c>
      <c r="D153" s="7">
        <f>SUMIF($A$251:$A$1260,"DISABILITY PROGRAMMES",D$251:D$1260)</f>
        <v>423200</v>
      </c>
      <c r="E153" s="7">
        <f>SUMIF($A$251:$A$1260,"DISABILITY PROGRAMMES",E$251:E$1260)</f>
        <v>447700</v>
      </c>
      <c r="F153" s="33"/>
    </row>
    <row r="154" spans="1:6" x14ac:dyDescent="0.15">
      <c r="A154" s="1" t="s">
        <v>362</v>
      </c>
      <c r="B154" s="126">
        <f>SUMIF($A$251:$A$1260,"YOUTH PROGRAMMES",B$251:B$1260)</f>
        <v>500000</v>
      </c>
      <c r="C154" s="202">
        <f>SUMIF($A$251:$A$1260,"YOUTH PROGRAMMES",C$251:C$1260)</f>
        <v>500000</v>
      </c>
      <c r="D154" s="7">
        <f>SUMIF($A$251:$A$1260,"YOUTH PROGRAMMES",D$251:D$1260)</f>
        <v>529000</v>
      </c>
      <c r="E154" s="7">
        <f>SUMIF($A$251:$A$1260,"YOUTH PROGRAMMES",E$251:E$1260)</f>
        <v>559700</v>
      </c>
      <c r="F154" s="33"/>
    </row>
    <row r="155" spans="1:6" x14ac:dyDescent="0.15">
      <c r="A155" s="1" t="s">
        <v>361</v>
      </c>
      <c r="B155" s="126">
        <f>SUMIF($A$251:$A$1260,"SMME DEVELOPMENT",B$251:B$1260)</f>
        <v>1000000</v>
      </c>
      <c r="C155" s="202">
        <f>SUMIF($A$251:$A$1260,"SMME DEVELOPMENT",C$251:C$1260)</f>
        <v>1486368</v>
      </c>
      <c r="D155" s="7">
        <f>SUMIF($A$251:$A$1260,"SMME DEVELOPMENT",D$251:D$1260)</f>
        <v>1572600</v>
      </c>
      <c r="E155" s="7">
        <f>SUMIF($A$251:$A$1260,"SMME DEVELOPMENT",E$251:E$1260)</f>
        <v>1663800</v>
      </c>
      <c r="F155" s="33"/>
    </row>
    <row r="156" spans="1:6" x14ac:dyDescent="0.15">
      <c r="A156" s="1" t="s">
        <v>370</v>
      </c>
      <c r="B156" s="126">
        <f>SUMIF($A$251:$A$1260,"CHIEF WHIP'S INTERFACE PROGRAMMES",B$251:B$1260)</f>
        <v>330000</v>
      </c>
      <c r="C156" s="202">
        <f>SUMIF($A$251:$A$1260,"CHIEF WHIP'S INTERFACE PROGRAMMES",C$251:C$1260)</f>
        <v>300000</v>
      </c>
      <c r="D156" s="7">
        <f>SUMIF($A$251:$A$1260,"CHIEF WHIP'S INTERFACE PROGRAMMES",D$251:D$1260)</f>
        <v>317400</v>
      </c>
      <c r="E156" s="7">
        <f>SUMIF($A$251:$A$1260,"CHIEF WHIP'S INTERFACE PROGRAMMES",E$251:E$1260)</f>
        <v>335800</v>
      </c>
      <c r="F156" s="33"/>
    </row>
    <row r="157" spans="1:6" ht="12" thickBot="1" x14ac:dyDescent="0.2">
      <c r="A157" s="1" t="s">
        <v>248</v>
      </c>
      <c r="B157" s="138">
        <f>SUM(B49:B156)</f>
        <v>88526088</v>
      </c>
      <c r="C157" s="203">
        <f>SUM(C49:C156)</f>
        <v>72685492.5</v>
      </c>
      <c r="D157" s="138">
        <f>SUM(D49:D156)</f>
        <v>75760505</v>
      </c>
      <c r="E157" s="138">
        <f>SUM(E49:E156)</f>
        <v>82233405</v>
      </c>
      <c r="F157" s="33"/>
    </row>
    <row r="158" spans="1:6" ht="12" thickTop="1" x14ac:dyDescent="0.15">
      <c r="C158" s="202"/>
      <c r="D158" s="7"/>
      <c r="E158" s="7"/>
    </row>
    <row r="159" spans="1:6" x14ac:dyDescent="0.15">
      <c r="A159" s="6" t="s">
        <v>249</v>
      </c>
      <c r="C159" s="202"/>
      <c r="D159" s="7"/>
      <c r="E159" s="7"/>
    </row>
    <row r="160" spans="1:6" x14ac:dyDescent="0.15">
      <c r="A160" s="6"/>
      <c r="C160" s="202"/>
      <c r="D160" s="3"/>
      <c r="E160" s="3"/>
    </row>
    <row r="161" spans="1:5" x14ac:dyDescent="0.15">
      <c r="A161" s="1" t="s">
        <v>282</v>
      </c>
      <c r="B161" s="126">
        <f>SUMIF($A$251:$A$1260,"R&amp;M: OFFICE MACHINES AND EQUIPMENT",B$251:B$1260)</f>
        <v>112957</v>
      </c>
      <c r="C161" s="202">
        <f>SUMIF($A$251:$A$1260,"R&amp;M: OFFICE MACHINES AND EQUIPMENT",C$251:C$1260)</f>
        <v>11109</v>
      </c>
      <c r="D161" s="7">
        <f>SUMIF($A$251:$A$1260,"R&amp;M: OFFICE MACHINES AND EQUIPMENT",D$251:D$1260)</f>
        <v>11800</v>
      </c>
      <c r="E161" s="7">
        <f>SUMIF($A$251:$A$1260,"R&amp;M: OFFICE MACHINES AND EQUIPMENT",E$251:E$1260)</f>
        <v>12500</v>
      </c>
    </row>
    <row r="162" spans="1:5" x14ac:dyDescent="0.15">
      <c r="A162" s="1" t="s">
        <v>283</v>
      </c>
      <c r="B162" s="126">
        <f>SUMIF($A$251:$A$1260,"R&amp;M: OFFICE FURNITURE AND EQUIPMENT",B$251:B$1260)</f>
        <v>240383</v>
      </c>
      <c r="C162" s="202">
        <f>SUMIF($A$251:$A$1260,"R&amp;M: OFFICE FURNITURE AND EQUIPMENT",C$251:C$1260)</f>
        <v>82727</v>
      </c>
      <c r="D162" s="7">
        <f>SUMIF($A$251:$A$1260,"R&amp;M: OFFICE FURNITURE AND EQUIPMENT",D$251:D$1260)</f>
        <v>87500</v>
      </c>
      <c r="E162" s="7">
        <f>SUMIF($A$251:$A$1260,"R&amp;M: OFFICE FURNITURE AND EQUIPMENT",E$251:E$1260)</f>
        <v>92600</v>
      </c>
    </row>
    <row r="163" spans="1:5" x14ac:dyDescent="0.15">
      <c r="A163" s="1" t="s">
        <v>284</v>
      </c>
      <c r="B163" s="126">
        <f>SUMIF($A$251:$A$1260,"R&amp;M: FIRE BRIGADE WAGONETTES",B$251:B$1260)</f>
        <v>10480</v>
      </c>
      <c r="C163" s="202">
        <f>SUMIF($A$251:$A$1260,"R&amp;M: FIRE BRIGADE WAGONETTES",C$251:C$1260)</f>
        <v>11108.8</v>
      </c>
      <c r="D163" s="7">
        <f>SUMIF($A$251:$A$1260,"R&amp;M: FIRE BRIGADE WAGONETTES",D$251:D$1260)</f>
        <v>11800</v>
      </c>
      <c r="E163" s="7">
        <f>SUMIF($A$251:$A$1260,"R&amp;M: FIRE BRIGADE WAGONETTES",E$251:E$1260)</f>
        <v>12500</v>
      </c>
    </row>
    <row r="164" spans="1:5" x14ac:dyDescent="0.15">
      <c r="A164" s="1" t="s">
        <v>608</v>
      </c>
      <c r="B164" s="126">
        <f>SUMIF($A$251:$A$1260,"R&amp;M: OFFICE BUILDING",B$251:B$1260)</f>
        <v>0</v>
      </c>
      <c r="C164" s="202">
        <f>SUMIF($A$251:$A$1260,"R&amp;M: OFFICE BUILDING",C$251:C$1260)</f>
        <v>2749000</v>
      </c>
      <c r="D164" s="7">
        <f>SUMIF($A$251:$A$1260,"R&amp;M: OFFICE BUILDING",D$251:D$1260)</f>
        <v>2100000</v>
      </c>
      <c r="E164" s="7">
        <f>SUMIF($A$251:$A$1260,"R&amp;M: OFFICE BUILDING",E$251:E$1260)</f>
        <v>2221800</v>
      </c>
    </row>
    <row r="165" spans="1:5" x14ac:dyDescent="0.15">
      <c r="A165" s="1" t="s">
        <v>285</v>
      </c>
      <c r="B165" s="126">
        <f>SUMIF($A$251:$A$1260,"R&amp;M: VEHICLES",B$251:B$1260)</f>
        <v>83840</v>
      </c>
      <c r="C165" s="202">
        <f>SUMIF($A$251:$A$1260,"R&amp;M: VEHICLES",C$251:C$1260)</f>
        <v>88870.399999999994</v>
      </c>
      <c r="D165" s="7">
        <f>SUMIF($A$251:$A$1260,"R&amp;M: VEHICLES",D$251:D$1260)</f>
        <v>94000</v>
      </c>
      <c r="E165" s="7">
        <f>SUMIF($A$251:$A$1260,"R&amp;M: VEHICLES",E$251:E$1260)</f>
        <v>99500</v>
      </c>
    </row>
    <row r="166" spans="1:5" ht="12" thickBot="1" x14ac:dyDescent="0.2">
      <c r="A166" s="1" t="s">
        <v>250</v>
      </c>
      <c r="B166" s="138">
        <f>SUM(B161:B165)</f>
        <v>447660</v>
      </c>
      <c r="C166" s="203">
        <f>SUM(C161:C165)</f>
        <v>2942815.1999999997</v>
      </c>
      <c r="D166" s="5">
        <f>SUM(D161:D165)</f>
        <v>2305100</v>
      </c>
      <c r="E166" s="5">
        <f>SUM(E161:E165)</f>
        <v>2438900</v>
      </c>
    </row>
    <row r="167" spans="1:5" ht="12" thickTop="1" x14ac:dyDescent="0.15">
      <c r="C167" s="202"/>
      <c r="D167" s="3"/>
      <c r="E167" s="3"/>
    </row>
    <row r="168" spans="1:5" x14ac:dyDescent="0.15">
      <c r="A168" s="6" t="s">
        <v>251</v>
      </c>
      <c r="C168" s="202"/>
      <c r="D168" s="3"/>
      <c r="E168" s="3"/>
    </row>
    <row r="169" spans="1:5" x14ac:dyDescent="0.15">
      <c r="C169" s="202"/>
      <c r="D169" s="3"/>
      <c r="E169" s="3"/>
    </row>
    <row r="170" spans="1:5" ht="12" thickBot="1" x14ac:dyDescent="0.2">
      <c r="A170" s="1" t="s">
        <v>252</v>
      </c>
      <c r="B170" s="138">
        <f>B246</f>
        <v>354419</v>
      </c>
      <c r="C170" s="203">
        <f>C246</f>
        <v>0</v>
      </c>
      <c r="D170" s="5">
        <f>D246</f>
        <v>0</v>
      </c>
      <c r="E170" s="5">
        <f>E246</f>
        <v>0</v>
      </c>
    </row>
    <row r="171" spans="1:5" ht="12" thickTop="1" x14ac:dyDescent="0.15">
      <c r="C171" s="202"/>
      <c r="D171" s="3"/>
      <c r="E171" s="3"/>
    </row>
    <row r="172" spans="1:5" x14ac:dyDescent="0.15">
      <c r="A172" s="6" t="s">
        <v>253</v>
      </c>
      <c r="C172" s="202"/>
      <c r="D172" s="3"/>
      <c r="E172" s="3"/>
    </row>
    <row r="173" spans="1:5" x14ac:dyDescent="0.15">
      <c r="A173" s="1"/>
      <c r="C173" s="202"/>
      <c r="D173" s="3"/>
      <c r="E173" s="3"/>
    </row>
    <row r="174" spans="1:5" x14ac:dyDescent="0.15">
      <c r="A174" s="1" t="s">
        <v>286</v>
      </c>
      <c r="B174" s="126">
        <f>SUMIF($A$251:$A$1260,"CTF: AUDIT FEES",B$251:B$1260)</f>
        <v>3145933</v>
      </c>
      <c r="C174" s="202">
        <f>SUMIF($A$251:$A$1260,"CTF: AUDIT FEES",C$251:C$1260)</f>
        <v>2500000</v>
      </c>
      <c r="D174" s="7">
        <f>SUMIF($A$251:$A$1260,"CTF: AUDIT FEES",D$251:D$1260)</f>
        <v>2800000</v>
      </c>
      <c r="E174" s="7">
        <f>SUMIF($A$251:$A$1260,"CTF: AUDIT FEES",E$251:E$1260)</f>
        <v>2962400</v>
      </c>
    </row>
    <row r="175" spans="1:5" x14ac:dyDescent="0.15">
      <c r="A175" s="1" t="s">
        <v>287</v>
      </c>
      <c r="B175" s="126">
        <f>SUMIF($A$251:$A$1260,"CTF: BAD DEBTS",B$251:B$1260)</f>
        <v>0</v>
      </c>
      <c r="C175" s="202">
        <f>SUMIF($A$251:$A$1260,"CTF: BAD DEBTS",C$251:C$1260)</f>
        <v>0</v>
      </c>
      <c r="D175" s="7">
        <f>SUMIF($A$251:$A$1260,"CTF: BAD DEBTS",D$251:D$1260)</f>
        <v>0</v>
      </c>
      <c r="E175" s="7">
        <f>SUMIF($A$251:$A$1260,"CTF: BAD DEBTS",E$251:E$1260)</f>
        <v>0</v>
      </c>
    </row>
    <row r="176" spans="1:5" x14ac:dyDescent="0.15">
      <c r="A176" s="1" t="s">
        <v>375</v>
      </c>
      <c r="B176" s="126">
        <f>SUMIF($A$251:$A$1260,"CTF: DEPRECIATION",B$251:B$1260)</f>
        <v>12500000</v>
      </c>
      <c r="C176" s="202">
        <f>SUMIF($A$251:$A$1260,"CTF: DEPRECIATION",C$251:C$1260)</f>
        <v>10595487</v>
      </c>
      <c r="D176" s="7">
        <f>SUMIF($A$251:$A$1260,"CTF: DEPRECIATION",D$251:D$1260)</f>
        <v>10000000</v>
      </c>
      <c r="E176" s="7">
        <f>SUMIF($A$251:$A$1260,"CTF: DEPRECIATION",E$251:E$1260)</f>
        <v>10000000</v>
      </c>
    </row>
    <row r="177" spans="1:11" x14ac:dyDescent="0.15">
      <c r="A177" s="2" t="s">
        <v>376</v>
      </c>
      <c r="B177" s="126">
        <f>SUMIF($A$251:$A$1260,"CTF: PERFOMANCE BONUS",B$251:B$1260)</f>
        <v>800000</v>
      </c>
      <c r="C177" s="202">
        <f>SUMIF($A$251:$A$1260,"CTF: PERFOMANCE BONUS",C$251:C$1260)</f>
        <v>2000000</v>
      </c>
      <c r="D177" s="7">
        <f>SUMIF($A$251:$A$1260,"CTF: PERFOMANCE BONUS",D$251:D$1260)</f>
        <v>2120000</v>
      </c>
      <c r="E177" s="7">
        <f>SUMIF($A$251:$A$1260,"CTF: PERFOMANCE BONUS",E$251:E$1260)</f>
        <v>2243000</v>
      </c>
    </row>
    <row r="178" spans="1:11" ht="12" thickBot="1" x14ac:dyDescent="0.2">
      <c r="A178" s="1" t="s">
        <v>153</v>
      </c>
      <c r="B178" s="138">
        <f>SUM(B174:B177)</f>
        <v>16445933</v>
      </c>
      <c r="C178" s="203">
        <f>SUM(C174:C177)</f>
        <v>15095487</v>
      </c>
      <c r="D178" s="5">
        <f>SUM(D174:D177)</f>
        <v>14920000</v>
      </c>
      <c r="E178" s="5">
        <f>SUM(E174:E177)</f>
        <v>15205400</v>
      </c>
    </row>
    <row r="179" spans="1:11" ht="12" thickTop="1" x14ac:dyDescent="0.15">
      <c r="C179" s="202"/>
      <c r="D179" s="3"/>
      <c r="E179" s="3"/>
    </row>
    <row r="180" spans="1:11" x14ac:dyDescent="0.15">
      <c r="C180" s="202"/>
      <c r="D180" s="3"/>
      <c r="E180" s="3"/>
    </row>
    <row r="181" spans="1:11" ht="12" thickBot="1" x14ac:dyDescent="0.2">
      <c r="A181" s="1" t="s">
        <v>157</v>
      </c>
      <c r="B181" s="138">
        <f>B178+B170+B166+B157+B30+B45</f>
        <v>215235176</v>
      </c>
      <c r="C181" s="203">
        <f>C178+C170+C166+C157+C30+C45</f>
        <v>209928366.87277502</v>
      </c>
      <c r="D181" s="5">
        <f>D178+D170+D166+D157+D30+D45</f>
        <v>219032005</v>
      </c>
      <c r="E181" s="5">
        <f>E178+E170+E166+E157+E30+E45</f>
        <v>233233941</v>
      </c>
    </row>
    <row r="182" spans="1:11" ht="12" thickTop="1" x14ac:dyDescent="0.15">
      <c r="C182" s="202"/>
      <c r="D182" s="7"/>
      <c r="E182" s="7"/>
      <c r="K182" s="31"/>
    </row>
    <row r="183" spans="1:11" x14ac:dyDescent="0.15">
      <c r="A183" s="6" t="s">
        <v>158</v>
      </c>
      <c r="C183" s="202"/>
      <c r="D183" s="3"/>
      <c r="E183" s="3"/>
    </row>
    <row r="184" spans="1:11" x14ac:dyDescent="0.15">
      <c r="A184" s="1"/>
      <c r="C184" s="202"/>
      <c r="D184" s="3"/>
      <c r="E184" s="3"/>
    </row>
    <row r="185" spans="1:11" x14ac:dyDescent="0.15">
      <c r="A185" s="6" t="s">
        <v>111</v>
      </c>
      <c r="C185" s="202"/>
      <c r="D185" s="3"/>
      <c r="E185" s="3"/>
    </row>
    <row r="186" spans="1:11" x14ac:dyDescent="0.15">
      <c r="A186" s="1"/>
      <c r="C186" s="202"/>
      <c r="D186" s="3"/>
      <c r="E186" s="3"/>
    </row>
    <row r="187" spans="1:11" x14ac:dyDescent="0.15">
      <c r="A187" s="1" t="s">
        <v>86</v>
      </c>
      <c r="B187" s="126">
        <f t="shared" ref="B187" si="1">B588</f>
        <v>0</v>
      </c>
      <c r="C187" s="202">
        <f t="shared" ref="C187:D187" si="2">C588</f>
        <v>0</v>
      </c>
      <c r="D187" s="3">
        <f t="shared" si="2"/>
        <v>0</v>
      </c>
      <c r="E187" s="3">
        <f t="shared" ref="E187" si="3">E588</f>
        <v>0</v>
      </c>
    </row>
    <row r="188" spans="1:11" x14ac:dyDescent="0.15">
      <c r="A188" s="1" t="s">
        <v>340</v>
      </c>
      <c r="B188" s="126">
        <f t="shared" ref="B188:E189" si="4">B589</f>
        <v>-262880</v>
      </c>
      <c r="C188" s="202">
        <f t="shared" si="4"/>
        <v>-262880</v>
      </c>
      <c r="D188" s="3">
        <f t="shared" si="4"/>
        <v>-276815</v>
      </c>
      <c r="E188" s="3">
        <f t="shared" si="4"/>
        <v>-292900</v>
      </c>
    </row>
    <row r="189" spans="1:11" x14ac:dyDescent="0.15">
      <c r="A189" s="1" t="s">
        <v>486</v>
      </c>
      <c r="B189" s="126">
        <f t="shared" si="4"/>
        <v>-22400</v>
      </c>
      <c r="C189" s="202">
        <f t="shared" si="4"/>
        <v>-25000</v>
      </c>
      <c r="D189" s="3">
        <f t="shared" si="4"/>
        <v>-26500</v>
      </c>
      <c r="E189" s="3">
        <f t="shared" si="4"/>
        <v>-28000</v>
      </c>
    </row>
    <row r="190" spans="1:11" x14ac:dyDescent="0.15">
      <c r="A190" s="1" t="s">
        <v>341</v>
      </c>
      <c r="B190" s="126">
        <f>B591</f>
        <v>-80900</v>
      </c>
      <c r="C190" s="202">
        <f>C591</f>
        <v>-100000</v>
      </c>
      <c r="D190" s="3">
        <f>D591</f>
        <v>-105800</v>
      </c>
      <c r="E190" s="3">
        <f>E591</f>
        <v>-111900</v>
      </c>
    </row>
    <row r="191" spans="1:11" x14ac:dyDescent="0.15">
      <c r="B191" s="126"/>
      <c r="C191" s="202"/>
      <c r="D191" s="3"/>
      <c r="E191" s="3"/>
    </row>
    <row r="192" spans="1:11" ht="12" thickBot="1" x14ac:dyDescent="0.2">
      <c r="A192" s="1" t="s">
        <v>112</v>
      </c>
      <c r="B192" s="138">
        <f>SUM(B187:B191)</f>
        <v>-366180</v>
      </c>
      <c r="C192" s="203">
        <f>SUM(C187:C191)</f>
        <v>-387880</v>
      </c>
      <c r="D192" s="5">
        <f>SUM(D187:D191)</f>
        <v>-409115</v>
      </c>
      <c r="E192" s="5">
        <f>SUM(E187:E191)</f>
        <v>-432800</v>
      </c>
    </row>
    <row r="193" spans="1:5" ht="12" thickTop="1" x14ac:dyDescent="0.15">
      <c r="C193" s="202"/>
      <c r="D193" s="3"/>
      <c r="E193" s="3"/>
    </row>
    <row r="194" spans="1:5" x14ac:dyDescent="0.15">
      <c r="A194" s="6" t="s">
        <v>159</v>
      </c>
      <c r="C194" s="202"/>
      <c r="D194" s="3"/>
      <c r="E194" s="3"/>
    </row>
    <row r="195" spans="1:5" x14ac:dyDescent="0.15">
      <c r="A195" s="1"/>
      <c r="C195" s="202"/>
      <c r="D195" s="3"/>
      <c r="E195" s="3"/>
    </row>
    <row r="196" spans="1:5" x14ac:dyDescent="0.15">
      <c r="A196" s="1" t="s">
        <v>168</v>
      </c>
      <c r="B196" s="126">
        <f t="shared" ref="B196:E197" si="5">B612</f>
        <v>0</v>
      </c>
      <c r="C196" s="202">
        <f t="shared" si="5"/>
        <v>0</v>
      </c>
      <c r="D196" s="3">
        <f t="shared" si="5"/>
        <v>0</v>
      </c>
      <c r="E196" s="3">
        <f t="shared" si="5"/>
        <v>0</v>
      </c>
    </row>
    <row r="197" spans="1:5" x14ac:dyDescent="0.15">
      <c r="A197" s="2" t="s">
        <v>358</v>
      </c>
      <c r="B197" s="126">
        <f t="shared" si="5"/>
        <v>-3200000</v>
      </c>
      <c r="C197" s="202">
        <f t="shared" si="5"/>
        <v>-6590000</v>
      </c>
      <c r="D197" s="3">
        <f t="shared" si="5"/>
        <v>-3806800</v>
      </c>
      <c r="E197" s="3">
        <f t="shared" si="5"/>
        <v>-4027500</v>
      </c>
    </row>
    <row r="198" spans="1:5" ht="12" thickBot="1" x14ac:dyDescent="0.2">
      <c r="A198" s="1" t="s">
        <v>160</v>
      </c>
      <c r="B198" s="192">
        <f>SUM(B196:B197)</f>
        <v>-3200000</v>
      </c>
      <c r="C198" s="203">
        <f>SUM(C196:C197)</f>
        <v>-6590000</v>
      </c>
      <c r="D198" s="192">
        <f t="shared" ref="D198:E198" si="6">SUM(D196:D197)</f>
        <v>-3806800</v>
      </c>
      <c r="E198" s="192">
        <f t="shared" si="6"/>
        <v>-4027500</v>
      </c>
    </row>
    <row r="199" spans="1:5" ht="12" thickTop="1" x14ac:dyDescent="0.15">
      <c r="C199" s="202"/>
      <c r="D199" s="3"/>
      <c r="E199" s="3"/>
    </row>
    <row r="200" spans="1:5" x14ac:dyDescent="0.15">
      <c r="A200" s="6" t="s">
        <v>264</v>
      </c>
      <c r="C200" s="202"/>
      <c r="D200" s="3"/>
      <c r="E200" s="3"/>
    </row>
    <row r="201" spans="1:5" x14ac:dyDescent="0.15">
      <c r="A201" s="1"/>
      <c r="C201" s="202"/>
      <c r="D201" s="3"/>
      <c r="E201" s="3"/>
    </row>
    <row r="202" spans="1:5" x14ac:dyDescent="0.15">
      <c r="A202" s="1" t="s">
        <v>161</v>
      </c>
      <c r="B202" s="126">
        <f>B618</f>
        <v>-1200000</v>
      </c>
      <c r="C202" s="202">
        <f>C618</f>
        <v>-800000</v>
      </c>
      <c r="D202" s="3">
        <f>D618</f>
        <v>-93300</v>
      </c>
      <c r="E202" s="3">
        <f>E618</f>
        <v>-93300</v>
      </c>
    </row>
    <row r="203" spans="1:5" x14ac:dyDescent="0.15">
      <c r="A203" s="1" t="s">
        <v>440</v>
      </c>
      <c r="B203" s="126">
        <f t="shared" ref="B203:B204" si="7">B619</f>
        <v>-1500000</v>
      </c>
      <c r="C203" s="202">
        <f t="shared" ref="C203:C204" si="8">C619</f>
        <v>0</v>
      </c>
      <c r="D203" s="3">
        <f>D619</f>
        <v>0</v>
      </c>
      <c r="E203" s="3">
        <f>E619</f>
        <v>0</v>
      </c>
    </row>
    <row r="204" spans="1:5" x14ac:dyDescent="0.15">
      <c r="A204" s="1" t="s">
        <v>487</v>
      </c>
      <c r="B204" s="126">
        <f t="shared" si="7"/>
        <v>0</v>
      </c>
      <c r="C204" s="202">
        <f t="shared" si="8"/>
        <v>-50000</v>
      </c>
      <c r="D204" s="3"/>
      <c r="E204" s="3"/>
    </row>
    <row r="205" spans="1:5" x14ac:dyDescent="0.15">
      <c r="A205" s="1" t="s">
        <v>374</v>
      </c>
      <c r="B205" s="126">
        <f t="shared" ref="B205" si="9">B621</f>
        <v>0</v>
      </c>
      <c r="C205" s="202">
        <f>C621</f>
        <v>0</v>
      </c>
      <c r="D205" s="3">
        <v>0</v>
      </c>
      <c r="E205" s="3">
        <v>0</v>
      </c>
    </row>
    <row r="206" spans="1:5" x14ac:dyDescent="0.15">
      <c r="A206" s="1" t="s">
        <v>458</v>
      </c>
      <c r="B206" s="126">
        <f>B622</f>
        <v>-130000</v>
      </c>
      <c r="C206" s="202">
        <f>C622</f>
        <v>-130000</v>
      </c>
      <c r="D206" s="3">
        <f>D622</f>
        <v>0</v>
      </c>
      <c r="E206" s="3">
        <f>E622</f>
        <v>0</v>
      </c>
    </row>
    <row r="207" spans="1:5" x14ac:dyDescent="0.15">
      <c r="A207" s="1" t="s">
        <v>488</v>
      </c>
      <c r="B207" s="126">
        <f>B623</f>
        <v>0</v>
      </c>
      <c r="C207" s="202"/>
      <c r="D207" s="3"/>
      <c r="E207" s="3"/>
    </row>
    <row r="208" spans="1:5" x14ac:dyDescent="0.15">
      <c r="A208" s="1" t="s">
        <v>436</v>
      </c>
      <c r="B208" s="126">
        <f t="shared" ref="B208" si="10">B624</f>
        <v>0</v>
      </c>
      <c r="C208" s="202">
        <f>C624</f>
        <v>0</v>
      </c>
      <c r="D208" s="3">
        <f>D624</f>
        <v>0</v>
      </c>
      <c r="E208" s="3">
        <f>E624</f>
        <v>0</v>
      </c>
    </row>
    <row r="209" spans="1:7" x14ac:dyDescent="0.15">
      <c r="A209" s="2" t="s">
        <v>359</v>
      </c>
      <c r="B209" s="187"/>
      <c r="C209" s="205"/>
      <c r="D209" s="13"/>
      <c r="E209" s="13"/>
    </row>
    <row r="210" spans="1:7" ht="12" thickBot="1" x14ac:dyDescent="0.2">
      <c r="A210" s="1" t="s">
        <v>265</v>
      </c>
      <c r="B210" s="138">
        <f>SUM(B202:B209)</f>
        <v>-2830000</v>
      </c>
      <c r="C210" s="203">
        <f>SUM(C202:C209)</f>
        <v>-980000</v>
      </c>
      <c r="D210" s="5">
        <f>SUM(D202:D209)</f>
        <v>-93300</v>
      </c>
      <c r="E210" s="5">
        <f>SUM(E202:E209)</f>
        <v>-93300</v>
      </c>
    </row>
    <row r="211" spans="1:7" ht="12" thickTop="1" x14ac:dyDescent="0.15">
      <c r="B211" s="188"/>
      <c r="C211" s="205"/>
      <c r="D211" s="13"/>
      <c r="E211" s="13"/>
    </row>
    <row r="212" spans="1:7" x14ac:dyDescent="0.15">
      <c r="A212" s="6" t="s">
        <v>244</v>
      </c>
      <c r="B212" s="12"/>
      <c r="C212" s="204"/>
      <c r="D212" s="4"/>
      <c r="E212" s="4"/>
    </row>
    <row r="213" spans="1:7" ht="13" x14ac:dyDescent="0.15">
      <c r="A213" t="s">
        <v>242</v>
      </c>
      <c r="B213" s="126">
        <f t="shared" ref="B213" si="11">B597</f>
        <v>-66103000</v>
      </c>
      <c r="C213" s="202">
        <f t="shared" ref="C213:D214" si="12">C597</f>
        <v>-66055000</v>
      </c>
      <c r="D213" s="7">
        <f t="shared" si="12"/>
        <v>-70945000</v>
      </c>
      <c r="E213" s="7">
        <f t="shared" ref="E213" si="13">E597</f>
        <v>-75413000</v>
      </c>
    </row>
    <row r="214" spans="1:7" ht="13" x14ac:dyDescent="0.15">
      <c r="A214" t="s">
        <v>125</v>
      </c>
      <c r="B214" s="126">
        <f t="shared" ref="B214" si="14">B598</f>
        <v>-151338000</v>
      </c>
      <c r="C214" s="202">
        <f t="shared" si="12"/>
        <v>-155605000</v>
      </c>
      <c r="D214" s="7">
        <f t="shared" si="12"/>
        <v>-159687000</v>
      </c>
      <c r="E214" s="7">
        <f t="shared" ref="E214" si="15">E598</f>
        <v>-164557000</v>
      </c>
    </row>
    <row r="215" spans="1:7" ht="13" x14ac:dyDescent="0.15">
      <c r="A215" s="23" t="s">
        <v>167</v>
      </c>
      <c r="B215" s="126">
        <f t="shared" ref="B215" si="16">B599</f>
        <v>-1500000</v>
      </c>
      <c r="C215" s="202">
        <f t="shared" ref="C215:D216" si="17">C599</f>
        <v>-1500000</v>
      </c>
      <c r="D215" s="7">
        <f t="shared" si="17"/>
        <v>-1500000</v>
      </c>
      <c r="E215" s="7">
        <f t="shared" ref="E215" si="18">E599</f>
        <v>-1250000</v>
      </c>
    </row>
    <row r="216" spans="1:7" ht="13" x14ac:dyDescent="0.15">
      <c r="A216" s="150" t="s">
        <v>243</v>
      </c>
      <c r="B216" s="126">
        <f t="shared" ref="B216" si="19">B600</f>
        <v>-940000</v>
      </c>
      <c r="C216" s="202">
        <f t="shared" si="17"/>
        <v>-1041000</v>
      </c>
      <c r="D216" s="7">
        <f t="shared" si="17"/>
        <v>-1637000</v>
      </c>
      <c r="E216" s="7">
        <f t="shared" ref="E216" si="20">E600</f>
        <v>0</v>
      </c>
    </row>
    <row r="217" spans="1:7" ht="13" x14ac:dyDescent="0.15">
      <c r="A217" s="150" t="s">
        <v>338</v>
      </c>
      <c r="B217" s="126">
        <f>B601</f>
        <v>-1908000</v>
      </c>
      <c r="C217" s="202">
        <f>C601</f>
        <v>-2274000</v>
      </c>
      <c r="D217" s="7"/>
      <c r="E217" s="7"/>
    </row>
    <row r="218" spans="1:7" ht="12" thickBot="1" x14ac:dyDescent="0.2">
      <c r="A218" s="1"/>
      <c r="B218" s="138">
        <f>SUM(B213:B217)</f>
        <v>-221789000</v>
      </c>
      <c r="C218" s="203">
        <f>SUM(C213:C217)</f>
        <v>-226475000</v>
      </c>
      <c r="D218" s="5">
        <f>SUM(D213:D216)</f>
        <v>-233769000</v>
      </c>
      <c r="E218" s="5">
        <f>SUM(E213:E216)</f>
        <v>-241220000</v>
      </c>
      <c r="G218" s="19"/>
    </row>
    <row r="219" spans="1:7" ht="12" thickTop="1" x14ac:dyDescent="0.15">
      <c r="A219" s="1"/>
      <c r="B219" s="12"/>
      <c r="C219" s="204"/>
      <c r="D219" s="4"/>
      <c r="E219" s="4"/>
      <c r="G219" s="19"/>
    </row>
    <row r="220" spans="1:7" x14ac:dyDescent="0.15">
      <c r="A220" s="6" t="s">
        <v>120</v>
      </c>
      <c r="B220" s="12"/>
      <c r="C220" s="204"/>
      <c r="D220" s="4"/>
      <c r="E220" s="4"/>
      <c r="G220" s="19"/>
    </row>
    <row r="221" spans="1:7" x14ac:dyDescent="0.15">
      <c r="A221" s="1"/>
      <c r="B221" s="12"/>
      <c r="C221" s="204"/>
      <c r="D221" s="12"/>
      <c r="E221" s="12"/>
      <c r="G221" s="19"/>
    </row>
    <row r="222" spans="1:7" x14ac:dyDescent="0.15">
      <c r="A222" s="8" t="s">
        <v>118</v>
      </c>
      <c r="B222" s="186">
        <f>B606</f>
        <v>0</v>
      </c>
      <c r="C222" s="204">
        <f>C606</f>
        <v>0</v>
      </c>
      <c r="D222" s="12">
        <f>D606</f>
        <v>0</v>
      </c>
      <c r="E222" s="12">
        <f>E606</f>
        <v>0</v>
      </c>
      <c r="G222" s="19"/>
    </row>
    <row r="223" spans="1:7" x14ac:dyDescent="0.15">
      <c r="A223" s="1"/>
      <c r="B223" s="186"/>
      <c r="C223" s="204"/>
      <c r="D223" s="12"/>
      <c r="E223" s="12"/>
      <c r="G223" s="19"/>
    </row>
    <row r="224" spans="1:7" ht="12" thickBot="1" x14ac:dyDescent="0.2">
      <c r="A224" s="6" t="s">
        <v>119</v>
      </c>
      <c r="B224" s="138">
        <f>SUM(B222:B223)</f>
        <v>0</v>
      </c>
      <c r="C224" s="203">
        <f>SUM(C222:C223)</f>
        <v>0</v>
      </c>
      <c r="D224" s="10">
        <f>SUM(D222:D223)</f>
        <v>0</v>
      </c>
      <c r="E224" s="10">
        <f>SUM(E222:E223)</f>
        <v>0</v>
      </c>
      <c r="G224" s="19"/>
    </row>
    <row r="225" spans="1:7" ht="12" thickTop="1" x14ac:dyDescent="0.15">
      <c r="B225" s="188"/>
      <c r="C225" s="205"/>
      <c r="D225" s="13"/>
      <c r="E225" s="13"/>
      <c r="G225" s="19"/>
    </row>
    <row r="226" spans="1:7" x14ac:dyDescent="0.15">
      <c r="A226" s="1" t="s">
        <v>123</v>
      </c>
      <c r="B226" s="126">
        <f>B210+B198+B192+B218+B224+B238</f>
        <v>-258578180</v>
      </c>
      <c r="C226" s="202">
        <f>C210+C198+C192+C218+C224+C238</f>
        <v>-236390880</v>
      </c>
      <c r="D226" s="7">
        <f>D210+D198+D192+D218+D224+D238</f>
        <v>-240134215</v>
      </c>
      <c r="E226" s="7">
        <f>E210+E198+E192+E218+E224+E238</f>
        <v>-247970600</v>
      </c>
    </row>
    <row r="227" spans="1:7" x14ac:dyDescent="0.15">
      <c r="B227" s="126"/>
      <c r="C227" s="202"/>
      <c r="D227" s="3"/>
      <c r="E227" s="3"/>
    </row>
    <row r="228" spans="1:7" ht="12" thickBot="1" x14ac:dyDescent="0.2">
      <c r="A228" s="1" t="s">
        <v>126</v>
      </c>
      <c r="B228" s="138">
        <f>B226+B181</f>
        <v>-43343004</v>
      </c>
      <c r="C228" s="203">
        <f>C226+C181</f>
        <v>-26462513.127224982</v>
      </c>
      <c r="D228" s="10">
        <f>D226+D181</f>
        <v>-21102210</v>
      </c>
      <c r="E228" s="10">
        <f>E226+E181</f>
        <v>-14736659</v>
      </c>
    </row>
    <row r="229" spans="1:7" ht="12" thickTop="1" x14ac:dyDescent="0.15">
      <c r="B229" s="7">
        <v>0</v>
      </c>
      <c r="C229" s="202"/>
      <c r="D229" s="3"/>
      <c r="E229" s="3"/>
    </row>
    <row r="230" spans="1:7" x14ac:dyDescent="0.15">
      <c r="A230" s="48" t="s">
        <v>124</v>
      </c>
      <c r="C230" s="202"/>
      <c r="D230" s="3"/>
      <c r="E230" s="3"/>
    </row>
    <row r="231" spans="1:7" x14ac:dyDescent="0.15">
      <c r="C231" s="202"/>
      <c r="D231" s="3"/>
      <c r="E231" s="3"/>
    </row>
    <row r="232" spans="1:7" ht="13" x14ac:dyDescent="0.15">
      <c r="A232" s="150" t="s">
        <v>338</v>
      </c>
      <c r="B232" s="126">
        <f>B634</f>
        <v>0</v>
      </c>
      <c r="C232" s="202">
        <f>C634</f>
        <v>0</v>
      </c>
      <c r="D232" s="3">
        <v>0</v>
      </c>
      <c r="E232" s="3">
        <v>0</v>
      </c>
    </row>
    <row r="233" spans="1:7" ht="13" x14ac:dyDescent="0.15">
      <c r="A233" s="150" t="s">
        <v>462</v>
      </c>
      <c r="B233" s="126">
        <f t="shared" ref="B233:E235" si="21">B636</f>
        <v>-1893000</v>
      </c>
      <c r="C233" s="202">
        <f t="shared" si="21"/>
        <v>-1958000</v>
      </c>
      <c r="D233" s="126">
        <f t="shared" si="21"/>
        <v>-2056000</v>
      </c>
      <c r="E233" s="126">
        <f t="shared" si="21"/>
        <v>-2197000</v>
      </c>
    </row>
    <row r="234" spans="1:7" ht="13" x14ac:dyDescent="0.15">
      <c r="A234" s="150" t="s">
        <v>572</v>
      </c>
      <c r="B234" s="126">
        <f t="shared" si="21"/>
        <v>-28500000</v>
      </c>
      <c r="C234" s="202">
        <f t="shared" si="21"/>
        <v>0</v>
      </c>
      <c r="D234" s="126">
        <f t="shared" si="21"/>
        <v>0</v>
      </c>
      <c r="E234" s="126">
        <f t="shared" si="21"/>
        <v>0</v>
      </c>
    </row>
    <row r="235" spans="1:7" ht="13" x14ac:dyDescent="0.15">
      <c r="A235" s="150" t="s">
        <v>463</v>
      </c>
      <c r="B235" s="126">
        <f t="shared" si="21"/>
        <v>0</v>
      </c>
      <c r="C235" s="202">
        <f t="shared" si="21"/>
        <v>0</v>
      </c>
      <c r="D235" s="3"/>
      <c r="E235" s="3"/>
    </row>
    <row r="236" spans="1:7" ht="13" x14ac:dyDescent="0.15">
      <c r="A236" s="150" t="s">
        <v>318</v>
      </c>
      <c r="B236" s="126"/>
      <c r="C236" s="202"/>
      <c r="D236" s="3"/>
      <c r="E236" s="3"/>
    </row>
    <row r="237" spans="1:7" ht="13" x14ac:dyDescent="0.15">
      <c r="A237" s="150" t="s">
        <v>558</v>
      </c>
      <c r="B237" s="172">
        <f>B639</f>
        <v>0</v>
      </c>
      <c r="C237" s="202">
        <f>C639</f>
        <v>0</v>
      </c>
      <c r="D237" s="172">
        <f>D639</f>
        <v>0</v>
      </c>
      <c r="E237" s="172">
        <f>E639</f>
        <v>0</v>
      </c>
    </row>
    <row r="238" spans="1:7" ht="14" thickBot="1" x14ac:dyDescent="0.2">
      <c r="A238" s="23"/>
      <c r="B238" s="138">
        <f>SUM(B232:B237)</f>
        <v>-30393000</v>
      </c>
      <c r="C238" s="203">
        <f>SUM(C232:C237)</f>
        <v>-1958000</v>
      </c>
      <c r="D238" s="192">
        <f t="shared" ref="D238:E238" si="22">SUM(D232:D237)</f>
        <v>-2056000</v>
      </c>
      <c r="E238" s="192">
        <f t="shared" si="22"/>
        <v>-2197000</v>
      </c>
    </row>
    <row r="239" spans="1:7" ht="12" thickTop="1" x14ac:dyDescent="0.15">
      <c r="C239" s="202"/>
      <c r="D239" s="3"/>
      <c r="E239" s="3"/>
    </row>
    <row r="240" spans="1:7" x14ac:dyDescent="0.15">
      <c r="A240" s="6" t="s">
        <v>251</v>
      </c>
      <c r="C240" s="202"/>
      <c r="D240" s="3"/>
      <c r="E240" s="3"/>
    </row>
    <row r="241" spans="1:5" x14ac:dyDescent="0.15">
      <c r="A241" s="1"/>
      <c r="C241" s="202"/>
      <c r="D241" s="3"/>
      <c r="E241" s="3"/>
    </row>
    <row r="242" spans="1:5" x14ac:dyDescent="0.15">
      <c r="A242" s="1" t="s">
        <v>288</v>
      </c>
      <c r="B242" s="126">
        <f>SUMIF($A$251:$A$1260,"CTCO: OFFICE MACHINES &amp; EQUIPMENT",B$251:B$1260)</f>
        <v>223419</v>
      </c>
      <c r="C242" s="202">
        <f>SUMIF($A$251:$A$1260,"CTCO: OFFICE MACHINES &amp; EQUIPMENT",C$251:C$1260)</f>
        <v>0</v>
      </c>
      <c r="D242" s="7">
        <f>SUMIF($A$251:$A$1260,"CTCO: OFFICE MACHINES &amp; EQUIPMENT",D$251:D$1260)</f>
        <v>0</v>
      </c>
      <c r="E242" s="7">
        <f>SUMIF($A$251:$A$1260,"CTCO: OFFICE MACHINES &amp; EQUIPMENT",E$251:E$1260)</f>
        <v>0</v>
      </c>
    </row>
    <row r="243" spans="1:5" x14ac:dyDescent="0.15">
      <c r="A243" s="1" t="s">
        <v>289</v>
      </c>
      <c r="B243" s="126">
        <f>SUMIF($A$251:$A$1260,"CTCO: OFFICE FURNITURE &amp; EQUIPMENT",B$251:B$1260)</f>
        <v>131000</v>
      </c>
      <c r="C243" s="202">
        <f>SUMIF($A$251:$A$1260,"CTCO: OFFICE FURNITURE &amp; EQUIPMENT",C$251:C$1260)</f>
        <v>0</v>
      </c>
      <c r="D243" s="7">
        <f>SUMIF($A$251:$A$1260,"CTCO: OFFICE FURNITURE &amp; EQUIPMENT",D$251:D$1260)</f>
        <v>0</v>
      </c>
      <c r="E243" s="7">
        <f>SUMIF($A$251:$A$1260,"CTCO: OFFICE FURNITURE &amp; EQUIPMENT",E$251:E$1260)</f>
        <v>0</v>
      </c>
    </row>
    <row r="244" spans="1:5" x14ac:dyDescent="0.15">
      <c r="A244" s="1" t="s">
        <v>290</v>
      </c>
      <c r="B244" s="126">
        <f>SUMIF($A$251:$A$1260,"CTCO: VEHICLES",B$251:B$1260)</f>
        <v>0</v>
      </c>
      <c r="C244" s="202">
        <f>SUMIF($A$251:$A$1260,"CTCO: VEHICLES",C$251:C$1260)</f>
        <v>0</v>
      </c>
      <c r="D244" s="7">
        <f>SUMIF($A$251:$A$1260,"CTCO: VEHICLES",D$251:D$1260)</f>
        <v>0</v>
      </c>
      <c r="E244" s="7">
        <f>SUMIF($A$251:$A$1260,"CTCO: VEHICLES",E$251:E$1260)</f>
        <v>0</v>
      </c>
    </row>
    <row r="245" spans="1:5" x14ac:dyDescent="0.15">
      <c r="A245" s="2" t="s">
        <v>109</v>
      </c>
      <c r="B245" s="126">
        <f>SUMIF($A$251:$A$1260,"CTCO: TOOLS AND EQUIPMENT",B$251:B$1260)</f>
        <v>0</v>
      </c>
      <c r="C245" s="202">
        <f>SUMIF($A$251:$A$1260,"CTCO: TOOLS AND EQUIPMENT",C$251:C$1260)</f>
        <v>0</v>
      </c>
      <c r="D245" s="7">
        <f>SUMIF($A$251:$A$1260,"CTCO: TOOLS AND EQUIPMENT",D$251:D$1260)</f>
        <v>0</v>
      </c>
      <c r="E245" s="7">
        <f>SUMIF($A$251:$A$1260,"CTCO: TOOLS AND EQUIPMENT",E$251:E$1260)</f>
        <v>0</v>
      </c>
    </row>
    <row r="246" spans="1:5" ht="12" thickBot="1" x14ac:dyDescent="0.2">
      <c r="A246" s="1" t="s">
        <v>165</v>
      </c>
      <c r="B246" s="138">
        <f>SUM(B242:B245)</f>
        <v>354419</v>
      </c>
      <c r="C246" s="203">
        <f>SUM(C242:C245)</f>
        <v>0</v>
      </c>
      <c r="D246" s="10">
        <f>SUM(D242:D245)</f>
        <v>0</v>
      </c>
      <c r="E246" s="10">
        <f>SUM(E242:E245)</f>
        <v>0</v>
      </c>
    </row>
    <row r="247" spans="1:5" ht="12" thickTop="1" x14ac:dyDescent="0.15">
      <c r="A247" s="1"/>
      <c r="B247" s="12"/>
      <c r="C247" s="204"/>
      <c r="D247" s="12"/>
      <c r="E247" s="12"/>
    </row>
    <row r="248" spans="1:5" x14ac:dyDescent="0.15">
      <c r="A248" s="1"/>
      <c r="B248" s="156"/>
      <c r="C248" s="206"/>
      <c r="D248" s="3"/>
      <c r="E248" s="3"/>
    </row>
    <row r="249" spans="1:5" x14ac:dyDescent="0.15">
      <c r="A249" s="1"/>
      <c r="B249" s="156" t="str">
        <f t="shared" ref="B249:D250" si="23">B8</f>
        <v>Budget</v>
      </c>
      <c r="C249" s="206" t="str">
        <f t="shared" si="23"/>
        <v>Budget</v>
      </c>
      <c r="D249" s="157" t="str">
        <f t="shared" si="23"/>
        <v>Budget</v>
      </c>
      <c r="E249" s="157" t="str">
        <f t="shared" ref="E249" si="24">E8</f>
        <v>Budget</v>
      </c>
    </row>
    <row r="250" spans="1:5" x14ac:dyDescent="0.15">
      <c r="B250" s="156" t="str">
        <f t="shared" si="23"/>
        <v>2015/2016</v>
      </c>
      <c r="C250" s="206" t="str">
        <f t="shared" si="23"/>
        <v>2016/2017</v>
      </c>
      <c r="D250" s="157" t="str">
        <f t="shared" si="23"/>
        <v>2017/2018</v>
      </c>
      <c r="E250" s="157" t="str">
        <f t="shared" ref="E250" si="25">E9</f>
        <v>2018/2019</v>
      </c>
    </row>
    <row r="251" spans="1:5" x14ac:dyDescent="0.15">
      <c r="A251" s="1"/>
      <c r="C251" s="202"/>
      <c r="D251" s="3"/>
      <c r="E251" s="3"/>
    </row>
    <row r="252" spans="1:5" ht="16" x14ac:dyDescent="0.2">
      <c r="A252" s="14" t="s">
        <v>257</v>
      </c>
      <c r="C252" s="202"/>
      <c r="D252" s="3"/>
      <c r="E252" s="3"/>
    </row>
    <row r="253" spans="1:5" x14ac:dyDescent="0.15">
      <c r="A253" s="1"/>
      <c r="C253" s="202"/>
      <c r="D253" s="3"/>
      <c r="E253" s="3"/>
    </row>
    <row r="254" spans="1:5" x14ac:dyDescent="0.15">
      <c r="A254" s="6" t="s">
        <v>246</v>
      </c>
      <c r="C254" s="202"/>
      <c r="D254" s="3"/>
      <c r="E254" s="3"/>
    </row>
    <row r="255" spans="1:5" x14ac:dyDescent="0.15">
      <c r="A255" s="1"/>
      <c r="C255" s="202"/>
      <c r="D255" s="3"/>
      <c r="E255" s="3"/>
    </row>
    <row r="256" spans="1:5" x14ac:dyDescent="0.15">
      <c r="A256" s="1" t="s">
        <v>197</v>
      </c>
      <c r="B256" s="126">
        <v>1288095</v>
      </c>
      <c r="C256" s="202">
        <f>REMUNERATION!F22</f>
        <v>1679782.3</v>
      </c>
      <c r="D256" s="3">
        <f t="shared" ref="D256:D266" si="26">ROUND(+C256*(1+D$1),-2)</f>
        <v>1777200</v>
      </c>
      <c r="E256" s="3">
        <f t="shared" ref="E256:E266" si="27">ROUND(+D256*(1+E$1),-2)</f>
        <v>1880300</v>
      </c>
    </row>
    <row r="257" spans="1:6" x14ac:dyDescent="0.15">
      <c r="A257" s="8" t="s">
        <v>231</v>
      </c>
      <c r="B257" s="126">
        <v>107341</v>
      </c>
      <c r="C257" s="202">
        <f>REMUNERATION!N22</f>
        <v>139981.85833333334</v>
      </c>
      <c r="D257" s="3">
        <f t="shared" si="26"/>
        <v>148100</v>
      </c>
      <c r="E257" s="3">
        <f t="shared" si="27"/>
        <v>156700</v>
      </c>
    </row>
    <row r="258" spans="1:6" x14ac:dyDescent="0.15">
      <c r="A258" s="1" t="s">
        <v>193</v>
      </c>
      <c r="B258" s="126">
        <v>0</v>
      </c>
      <c r="C258" s="202"/>
      <c r="D258" s="3">
        <f t="shared" si="26"/>
        <v>0</v>
      </c>
      <c r="E258" s="3">
        <f t="shared" si="27"/>
        <v>0</v>
      </c>
    </row>
    <row r="259" spans="1:6" x14ac:dyDescent="0.15">
      <c r="A259" s="1" t="s">
        <v>198</v>
      </c>
      <c r="B259" s="126">
        <v>32928</v>
      </c>
      <c r="C259" s="202">
        <f>REMUNERATION!I22</f>
        <v>42000</v>
      </c>
      <c r="D259" s="3">
        <f t="shared" si="26"/>
        <v>44400</v>
      </c>
      <c r="E259" s="3">
        <f t="shared" si="27"/>
        <v>47000</v>
      </c>
    </row>
    <row r="260" spans="1:6" x14ac:dyDescent="0.15">
      <c r="A260" s="1" t="s">
        <v>199</v>
      </c>
      <c r="B260" s="126">
        <v>174027</v>
      </c>
      <c r="C260" s="202">
        <f>REMUNERATION!H22</f>
        <v>235318.68</v>
      </c>
      <c r="D260" s="3">
        <f t="shared" si="26"/>
        <v>249000</v>
      </c>
      <c r="E260" s="3">
        <f t="shared" si="27"/>
        <v>263400</v>
      </c>
    </row>
    <row r="261" spans="1:6" x14ac:dyDescent="0.15">
      <c r="A261" s="1" t="s">
        <v>200</v>
      </c>
      <c r="B261" s="126">
        <v>104800</v>
      </c>
      <c r="C261" s="202">
        <f>REMUNERATION!E21</f>
        <v>104800</v>
      </c>
      <c r="D261" s="3">
        <f t="shared" si="26"/>
        <v>110900</v>
      </c>
      <c r="E261" s="3">
        <f t="shared" si="27"/>
        <v>117300</v>
      </c>
    </row>
    <row r="262" spans="1:6" x14ac:dyDescent="0.15">
      <c r="A262" s="1" t="s">
        <v>169</v>
      </c>
      <c r="B262" s="126">
        <v>283381</v>
      </c>
      <c r="C262" s="202">
        <f>REMUNERATION!G22</f>
        <v>369552.10600000009</v>
      </c>
      <c r="D262" s="3">
        <f t="shared" si="26"/>
        <v>391000</v>
      </c>
      <c r="E262" s="3">
        <f t="shared" si="27"/>
        <v>413700</v>
      </c>
    </row>
    <row r="263" spans="1:6" x14ac:dyDescent="0.15">
      <c r="A263" s="1" t="s">
        <v>201</v>
      </c>
      <c r="B263" s="126">
        <v>264960</v>
      </c>
      <c r="C263" s="202">
        <f>REMUNERATION!K22</f>
        <v>275760</v>
      </c>
      <c r="D263" s="3">
        <f t="shared" si="26"/>
        <v>291800</v>
      </c>
      <c r="E263" s="3">
        <f t="shared" si="27"/>
        <v>308700</v>
      </c>
    </row>
    <row r="264" spans="1:6" x14ac:dyDescent="0.15">
      <c r="A264" s="1" t="s">
        <v>202</v>
      </c>
      <c r="B264" s="126">
        <v>6400</v>
      </c>
      <c r="C264" s="202">
        <f>REMUNERATION!J22</f>
        <v>9630</v>
      </c>
      <c r="D264" s="3">
        <f t="shared" si="26"/>
        <v>10200</v>
      </c>
      <c r="E264" s="3">
        <f t="shared" si="27"/>
        <v>10800</v>
      </c>
    </row>
    <row r="265" spans="1:6" x14ac:dyDescent="0.15">
      <c r="A265" s="1" t="s">
        <v>203</v>
      </c>
      <c r="B265" s="126">
        <v>16933</v>
      </c>
      <c r="C265" s="202">
        <f>REMUNERATION!M22</f>
        <v>21375.241583333336</v>
      </c>
      <c r="D265" s="3">
        <f t="shared" si="26"/>
        <v>22600</v>
      </c>
      <c r="E265" s="3">
        <f t="shared" si="27"/>
        <v>23900</v>
      </c>
    </row>
    <row r="266" spans="1:6" x14ac:dyDescent="0.15">
      <c r="A266" s="1" t="s">
        <v>204</v>
      </c>
      <c r="B266" s="126">
        <v>400</v>
      </c>
      <c r="C266" s="202">
        <f>REMUNERATION!L22</f>
        <v>465</v>
      </c>
      <c r="D266" s="3">
        <f t="shared" si="26"/>
        <v>500</v>
      </c>
      <c r="E266" s="3">
        <f t="shared" si="27"/>
        <v>500</v>
      </c>
    </row>
    <row r="267" spans="1:6" x14ac:dyDescent="0.15">
      <c r="A267" s="8" t="s">
        <v>4</v>
      </c>
      <c r="B267" s="126">
        <v>0</v>
      </c>
      <c r="C267" s="202">
        <v>0</v>
      </c>
      <c r="D267" s="3"/>
      <c r="E267" s="3"/>
    </row>
    <row r="268" spans="1:6" ht="12" thickBot="1" x14ac:dyDescent="0.2">
      <c r="A268" s="1" t="s">
        <v>247</v>
      </c>
      <c r="B268" s="138">
        <f>SUM(B256:B267)</f>
        <v>2279265</v>
      </c>
      <c r="C268" s="203">
        <f>SUM(C256:C267)</f>
        <v>2878665.1859166669</v>
      </c>
      <c r="D268" s="5">
        <f>SUM(D256:D266)</f>
        <v>3045700</v>
      </c>
      <c r="E268" s="5">
        <f>SUM(E256:E266)</f>
        <v>3222300</v>
      </c>
    </row>
    <row r="269" spans="1:6" ht="12" thickTop="1" x14ac:dyDescent="0.15">
      <c r="C269" s="202"/>
      <c r="D269" s="3"/>
      <c r="E269" s="3"/>
    </row>
    <row r="270" spans="1:6" x14ac:dyDescent="0.15">
      <c r="A270" s="48" t="s">
        <v>127</v>
      </c>
      <c r="C270" s="202"/>
      <c r="D270" s="3"/>
      <c r="E270" s="3"/>
    </row>
    <row r="271" spans="1:6" x14ac:dyDescent="0.15">
      <c r="A271" s="1"/>
      <c r="C271" s="202"/>
      <c r="D271" s="3"/>
      <c r="E271" s="3"/>
    </row>
    <row r="272" spans="1:6" x14ac:dyDescent="0.15">
      <c r="A272" s="1" t="s">
        <v>261</v>
      </c>
      <c r="B272" s="126">
        <v>569070</v>
      </c>
      <c r="C272" s="202">
        <f>B272+B272*0.07</f>
        <v>608904.9</v>
      </c>
      <c r="D272" s="3">
        <f t="shared" ref="D272:D277" si="28">ROUND(+C272*(1+D$1),-2)</f>
        <v>644200</v>
      </c>
      <c r="E272" s="3">
        <f t="shared" ref="E272:E274" si="29">ROUND(+D272*(1+E$1),-2)</f>
        <v>681600</v>
      </c>
      <c r="F272" s="55"/>
    </row>
    <row r="273" spans="1:5" x14ac:dyDescent="0.15">
      <c r="A273" s="1" t="s">
        <v>262</v>
      </c>
      <c r="B273" s="126">
        <v>241550</v>
      </c>
      <c r="C273" s="202">
        <f>B273+B273*0.07</f>
        <v>258458.5</v>
      </c>
      <c r="D273" s="3">
        <f t="shared" si="28"/>
        <v>273400</v>
      </c>
      <c r="E273" s="3">
        <f t="shared" si="29"/>
        <v>289300</v>
      </c>
    </row>
    <row r="274" spans="1:5" x14ac:dyDescent="0.15">
      <c r="A274" s="1" t="s">
        <v>263</v>
      </c>
      <c r="B274" s="126">
        <v>98003</v>
      </c>
      <c r="C274" s="202">
        <f>B274+B274*0.07</f>
        <v>104863.21</v>
      </c>
      <c r="D274" s="3">
        <f t="shared" si="28"/>
        <v>110900</v>
      </c>
      <c r="E274" s="3">
        <f t="shared" si="29"/>
        <v>117300</v>
      </c>
    </row>
    <row r="275" spans="1:5" x14ac:dyDescent="0.15">
      <c r="A275" s="1" t="s">
        <v>133</v>
      </c>
      <c r="B275" s="126">
        <v>24171</v>
      </c>
      <c r="C275" s="202">
        <f t="shared" ref="C275:C277" si="30">B275+B275*0.07</f>
        <v>25862.97</v>
      </c>
      <c r="D275" s="3">
        <f t="shared" si="28"/>
        <v>27400</v>
      </c>
      <c r="E275" s="3">
        <f t="shared" ref="E275:E277" si="31">ROUND(+D275*(1+E$1),-2)</f>
        <v>29000</v>
      </c>
    </row>
    <row r="276" spans="1:5" x14ac:dyDescent="0.15">
      <c r="A276" s="1" t="s">
        <v>184</v>
      </c>
      <c r="B276" s="126">
        <v>23553</v>
      </c>
      <c r="C276" s="202">
        <f t="shared" si="30"/>
        <v>25201.71</v>
      </c>
      <c r="D276" s="3">
        <f t="shared" si="28"/>
        <v>26700</v>
      </c>
      <c r="E276" s="3">
        <f t="shared" si="31"/>
        <v>28200</v>
      </c>
    </row>
    <row r="277" spans="1:5" x14ac:dyDescent="0.15">
      <c r="A277" s="1" t="s">
        <v>189</v>
      </c>
      <c r="B277" s="126">
        <v>79927</v>
      </c>
      <c r="C277" s="202">
        <f t="shared" si="30"/>
        <v>85521.89</v>
      </c>
      <c r="D277" s="3">
        <f t="shared" si="28"/>
        <v>90500</v>
      </c>
      <c r="E277" s="3">
        <f t="shared" si="31"/>
        <v>95700</v>
      </c>
    </row>
    <row r="278" spans="1:5" ht="12" thickBot="1" x14ac:dyDescent="0.2">
      <c r="A278" s="1"/>
      <c r="B278" s="138">
        <f>SUM(B272:B277)</f>
        <v>1036274</v>
      </c>
      <c r="C278" s="203">
        <f>SUM(C272:C277)</f>
        <v>1108813.18</v>
      </c>
      <c r="D278" s="5">
        <f>SUM(D272:D277)</f>
        <v>1173100</v>
      </c>
      <c r="E278" s="5">
        <f>SUM(E272:E277)</f>
        <v>1241100</v>
      </c>
    </row>
    <row r="279" spans="1:5" ht="12" thickTop="1" x14ac:dyDescent="0.15">
      <c r="A279" s="6" t="s">
        <v>241</v>
      </c>
      <c r="C279" s="202"/>
      <c r="D279" s="3"/>
      <c r="E279" s="3"/>
    </row>
    <row r="280" spans="1:5" x14ac:dyDescent="0.15">
      <c r="A280" s="6"/>
      <c r="C280" s="202"/>
      <c r="D280" s="3"/>
      <c r="E280" s="3"/>
    </row>
    <row r="281" spans="1:5" x14ac:dyDescent="0.15">
      <c r="A281" s="1" t="s">
        <v>269</v>
      </c>
      <c r="B281" s="126">
        <v>2500000</v>
      </c>
      <c r="C281" s="202">
        <v>1500000</v>
      </c>
      <c r="D281" s="3">
        <f t="shared" ref="D281:D288" si="32">ROUND(+C281*(1+D$1),-2)</f>
        <v>1587000</v>
      </c>
      <c r="E281" s="3">
        <f t="shared" ref="E281:E283" si="33">ROUND(+D281*(1+E$1),-2)</f>
        <v>1679000</v>
      </c>
    </row>
    <row r="282" spans="1:5" x14ac:dyDescent="0.15">
      <c r="A282" s="1" t="s">
        <v>177</v>
      </c>
      <c r="B282" s="172">
        <v>41920</v>
      </c>
      <c r="C282" s="202">
        <f>B282+B282*0.06</f>
        <v>44435.199999999997</v>
      </c>
      <c r="D282" s="3">
        <f t="shared" si="32"/>
        <v>47000</v>
      </c>
      <c r="E282" s="3">
        <f t="shared" si="33"/>
        <v>49700</v>
      </c>
    </row>
    <row r="283" spans="1:5" x14ac:dyDescent="0.15">
      <c r="A283" s="1" t="s">
        <v>194</v>
      </c>
      <c r="B283" s="126">
        <v>0</v>
      </c>
      <c r="C283" s="202">
        <f t="shared" ref="C283:C287" si="34">B283+B283*0.06</f>
        <v>0</v>
      </c>
      <c r="D283" s="3">
        <f t="shared" si="32"/>
        <v>0</v>
      </c>
      <c r="E283" s="3">
        <f t="shared" si="33"/>
        <v>0</v>
      </c>
    </row>
    <row r="284" spans="1:5" x14ac:dyDescent="0.15">
      <c r="A284" s="1" t="s">
        <v>299</v>
      </c>
      <c r="B284" s="126">
        <v>450000</v>
      </c>
      <c r="C284" s="247">
        <v>0</v>
      </c>
      <c r="D284" s="3">
        <f t="shared" si="32"/>
        <v>0</v>
      </c>
      <c r="E284" s="3">
        <f t="shared" ref="E284:E288" si="35">ROUND(+D284*(1+E$1),-2)</f>
        <v>0</v>
      </c>
    </row>
    <row r="285" spans="1:5" x14ac:dyDescent="0.15">
      <c r="A285" s="1" t="s">
        <v>195</v>
      </c>
      <c r="B285" s="126">
        <v>33746</v>
      </c>
      <c r="C285" s="202">
        <f t="shared" si="34"/>
        <v>35770.76</v>
      </c>
      <c r="D285" s="3">
        <f t="shared" si="32"/>
        <v>37800</v>
      </c>
      <c r="E285" s="3">
        <f t="shared" si="35"/>
        <v>40000</v>
      </c>
    </row>
    <row r="286" spans="1:5" x14ac:dyDescent="0.15">
      <c r="A286" s="1" t="s">
        <v>303</v>
      </c>
      <c r="B286" s="126">
        <v>8845</v>
      </c>
      <c r="C286" s="202">
        <f t="shared" si="34"/>
        <v>9375.7000000000007</v>
      </c>
      <c r="D286" s="3">
        <f t="shared" si="32"/>
        <v>9900</v>
      </c>
      <c r="E286" s="3">
        <f t="shared" si="35"/>
        <v>10500</v>
      </c>
    </row>
    <row r="287" spans="1:5" x14ac:dyDescent="0.15">
      <c r="A287" s="1" t="s">
        <v>191</v>
      </c>
      <c r="B287" s="126">
        <v>262000</v>
      </c>
      <c r="C287" s="202">
        <f t="shared" si="34"/>
        <v>277720</v>
      </c>
      <c r="D287" s="3">
        <f t="shared" si="32"/>
        <v>293800</v>
      </c>
      <c r="E287" s="3">
        <f t="shared" si="35"/>
        <v>310800</v>
      </c>
    </row>
    <row r="288" spans="1:5" x14ac:dyDescent="0.15">
      <c r="A288" s="1" t="s">
        <v>364</v>
      </c>
      <c r="B288" s="126">
        <v>300000</v>
      </c>
      <c r="C288" s="202">
        <v>0</v>
      </c>
      <c r="D288" s="3">
        <f t="shared" si="32"/>
        <v>0</v>
      </c>
      <c r="E288" s="3">
        <f t="shared" si="35"/>
        <v>0</v>
      </c>
    </row>
    <row r="289" spans="1:5" ht="12" thickBot="1" x14ac:dyDescent="0.2">
      <c r="A289" s="1" t="s">
        <v>248</v>
      </c>
      <c r="B289" s="138">
        <f>SUM(B281:B288)</f>
        <v>3596511</v>
      </c>
      <c r="C289" s="203">
        <f>SUM(C281:C288)</f>
        <v>1867301.66</v>
      </c>
      <c r="D289" s="5">
        <f>SUM(D281:D288)</f>
        <v>1975500</v>
      </c>
      <c r="E289" s="5">
        <f>SUM(E281:E288)</f>
        <v>2090000</v>
      </c>
    </row>
    <row r="290" spans="1:5" ht="12" thickTop="1" x14ac:dyDescent="0.15">
      <c r="C290" s="202"/>
      <c r="D290" s="3"/>
      <c r="E290" s="3"/>
    </row>
    <row r="291" spans="1:5" x14ac:dyDescent="0.15">
      <c r="A291" s="6" t="s">
        <v>249</v>
      </c>
      <c r="C291" s="202"/>
      <c r="D291" s="3"/>
      <c r="E291" s="3"/>
    </row>
    <row r="292" spans="1:5" x14ac:dyDescent="0.15">
      <c r="A292" s="1"/>
      <c r="C292" s="202"/>
      <c r="D292" s="3"/>
      <c r="E292" s="3"/>
    </row>
    <row r="293" spans="1:5" x14ac:dyDescent="0.15">
      <c r="A293" s="1" t="s">
        <v>282</v>
      </c>
      <c r="B293" s="126">
        <v>2917</v>
      </c>
      <c r="C293" s="202">
        <v>0</v>
      </c>
      <c r="D293" s="3">
        <f t="shared" ref="D293:D294" si="36">ROUND(+C293*(1+D$1),-2)</f>
        <v>0</v>
      </c>
      <c r="E293" s="3">
        <f t="shared" ref="E293:E294" si="37">ROUND(+D293*(1+E$1),-2)</f>
        <v>0</v>
      </c>
    </row>
    <row r="294" spans="1:5" x14ac:dyDescent="0.15">
      <c r="A294" s="1" t="s">
        <v>283</v>
      </c>
      <c r="B294" s="126">
        <v>2917</v>
      </c>
      <c r="C294" s="202">
        <v>0</v>
      </c>
      <c r="D294" s="3">
        <f t="shared" si="36"/>
        <v>0</v>
      </c>
      <c r="E294" s="3">
        <f t="shared" si="37"/>
        <v>0</v>
      </c>
    </row>
    <row r="295" spans="1:5" x14ac:dyDescent="0.15">
      <c r="B295" s="126"/>
      <c r="C295" s="202"/>
      <c r="D295" s="3"/>
      <c r="E295" s="3"/>
    </row>
    <row r="296" spans="1:5" ht="12" thickBot="1" x14ac:dyDescent="0.2">
      <c r="A296" s="1" t="s">
        <v>250</v>
      </c>
      <c r="B296" s="138">
        <f>SUM(B293:B295)</f>
        <v>5834</v>
      </c>
      <c r="C296" s="203">
        <f>SUM(C293:C295)</f>
        <v>0</v>
      </c>
      <c r="D296" s="5">
        <f>SUM(D293:D295)</f>
        <v>0</v>
      </c>
      <c r="E296" s="5">
        <f>SUM(E293:E295)</f>
        <v>0</v>
      </c>
    </row>
    <row r="297" spans="1:5" ht="12" thickTop="1" x14ac:dyDescent="0.15">
      <c r="C297" s="202"/>
      <c r="D297" s="3"/>
      <c r="E297" s="3"/>
    </row>
    <row r="298" spans="1:5" x14ac:dyDescent="0.15">
      <c r="A298" s="6" t="s">
        <v>251</v>
      </c>
      <c r="C298" s="202"/>
      <c r="D298" s="3"/>
      <c r="E298" s="3"/>
    </row>
    <row r="299" spans="1:5" x14ac:dyDescent="0.15">
      <c r="A299" s="1"/>
      <c r="C299" s="202"/>
      <c r="D299" s="3"/>
      <c r="E299" s="3"/>
    </row>
    <row r="300" spans="1:5" ht="12" thickBot="1" x14ac:dyDescent="0.2">
      <c r="A300" s="1" t="s">
        <v>252</v>
      </c>
      <c r="B300" s="138">
        <f>B311</f>
        <v>0</v>
      </c>
      <c r="C300" s="203">
        <f>C311</f>
        <v>0</v>
      </c>
      <c r="D300" s="5">
        <f>D311</f>
        <v>0</v>
      </c>
      <c r="E300" s="5">
        <f>E311</f>
        <v>0</v>
      </c>
    </row>
    <row r="301" spans="1:5" ht="12" thickTop="1" x14ac:dyDescent="0.15">
      <c r="B301" s="126"/>
      <c r="C301" s="202"/>
      <c r="D301" s="3"/>
      <c r="E301" s="3"/>
    </row>
    <row r="302" spans="1:5" ht="12" thickBot="1" x14ac:dyDescent="0.2">
      <c r="A302" s="1" t="s">
        <v>157</v>
      </c>
      <c r="B302" s="138">
        <f>B300+B296+B289+B268+B278</f>
        <v>6917884</v>
      </c>
      <c r="C302" s="203">
        <f>C300+C296+C289+C268+C278</f>
        <v>5854780.0259166667</v>
      </c>
      <c r="D302" s="10">
        <f>D300+D296+D289+D268+D278</f>
        <v>6194300</v>
      </c>
      <c r="E302" s="10">
        <f>E300+E296+E289+E268+E278</f>
        <v>6553400</v>
      </c>
    </row>
    <row r="303" spans="1:5" ht="12" thickTop="1" x14ac:dyDescent="0.15">
      <c r="C303" s="202"/>
      <c r="D303" s="3"/>
      <c r="E303" s="3"/>
    </row>
    <row r="304" spans="1:5" x14ac:dyDescent="0.15">
      <c r="A304" s="6" t="s">
        <v>251</v>
      </c>
      <c r="C304" s="202"/>
      <c r="D304" s="3"/>
      <c r="E304" s="3"/>
    </row>
    <row r="305" spans="1:5" x14ac:dyDescent="0.15">
      <c r="A305" s="1"/>
      <c r="C305" s="202"/>
      <c r="D305" s="3"/>
      <c r="E305" s="3"/>
    </row>
    <row r="306" spans="1:5" x14ac:dyDescent="0.15">
      <c r="A306" s="1" t="s">
        <v>288</v>
      </c>
      <c r="C306" s="202">
        <f>B306</f>
        <v>0</v>
      </c>
      <c r="D306" s="3">
        <f>ROUND(+C306*(1+D$1),-2)</f>
        <v>0</v>
      </c>
      <c r="E306" s="3">
        <f t="shared" ref="E306:E308" si="38">ROUND(+D306*(1+E$1),-2)</f>
        <v>0</v>
      </c>
    </row>
    <row r="307" spans="1:5" x14ac:dyDescent="0.15">
      <c r="A307" s="1" t="s">
        <v>289</v>
      </c>
      <c r="B307" s="7">
        <v>0</v>
      </c>
      <c r="C307" s="202">
        <f>B307</f>
        <v>0</v>
      </c>
      <c r="D307" s="3">
        <v>0</v>
      </c>
      <c r="E307" s="3">
        <v>0</v>
      </c>
    </row>
    <row r="308" spans="1:5" x14ac:dyDescent="0.15">
      <c r="A308" s="1" t="s">
        <v>291</v>
      </c>
      <c r="B308" s="7">
        <v>0</v>
      </c>
      <c r="C308" s="202">
        <f>B308</f>
        <v>0</v>
      </c>
      <c r="D308" s="3">
        <f>ROUND(+C308*(1+D$1),-2)</f>
        <v>0</v>
      </c>
      <c r="E308" s="3">
        <f t="shared" si="38"/>
        <v>0</v>
      </c>
    </row>
    <row r="309" spans="1:5" x14ac:dyDescent="0.15">
      <c r="A309" s="1" t="s">
        <v>290</v>
      </c>
      <c r="B309" s="7">
        <v>0</v>
      </c>
      <c r="C309" s="202">
        <f>B309</f>
        <v>0</v>
      </c>
      <c r="D309" s="3">
        <v>0</v>
      </c>
      <c r="E309" s="3">
        <v>0</v>
      </c>
    </row>
    <row r="310" spans="1:5" x14ac:dyDescent="0.15">
      <c r="C310" s="202"/>
      <c r="D310" s="3"/>
      <c r="E310" s="3"/>
    </row>
    <row r="311" spans="1:5" ht="12" thickBot="1" x14ac:dyDescent="0.2">
      <c r="A311" s="1" t="s">
        <v>165</v>
      </c>
      <c r="B311" s="10">
        <f>SUM(B306:B309)</f>
        <v>0</v>
      </c>
      <c r="C311" s="203">
        <f>SUM(C306:C309)</f>
        <v>0</v>
      </c>
      <c r="D311" s="5">
        <f>SUM(D306:D309)</f>
        <v>0</v>
      </c>
      <c r="E311" s="5">
        <f>SUM(E306:E309)</f>
        <v>0</v>
      </c>
    </row>
    <row r="312" spans="1:5" ht="12" thickTop="1" x14ac:dyDescent="0.15">
      <c r="C312" s="202"/>
      <c r="D312" s="3"/>
      <c r="E312" s="3"/>
    </row>
    <row r="313" spans="1:5" x14ac:dyDescent="0.15">
      <c r="A313" s="1"/>
      <c r="B313" s="156"/>
      <c r="C313" s="206"/>
      <c r="D313" s="3"/>
      <c r="E313" s="3"/>
    </row>
    <row r="314" spans="1:5" x14ac:dyDescent="0.15">
      <c r="A314" s="1"/>
      <c r="B314" s="156" t="str">
        <f t="shared" ref="B314:D315" si="39">B8</f>
        <v>Budget</v>
      </c>
      <c r="C314" s="206" t="str">
        <f t="shared" si="39"/>
        <v>Budget</v>
      </c>
      <c r="D314" s="157" t="str">
        <f t="shared" si="39"/>
        <v>Budget</v>
      </c>
      <c r="E314" s="157" t="s">
        <v>245</v>
      </c>
    </row>
    <row r="315" spans="1:5" x14ac:dyDescent="0.15">
      <c r="B315" s="156" t="str">
        <f t="shared" si="39"/>
        <v>2015/2016</v>
      </c>
      <c r="C315" s="206" t="str">
        <f t="shared" si="39"/>
        <v>2016/2017</v>
      </c>
      <c r="D315" s="157" t="str">
        <f t="shared" si="39"/>
        <v>2017/2018</v>
      </c>
      <c r="E315" s="160" t="str">
        <f>E9</f>
        <v>2018/2019</v>
      </c>
    </row>
    <row r="316" spans="1:5" x14ac:dyDescent="0.15">
      <c r="A316" s="1"/>
      <c r="C316" s="202"/>
      <c r="D316" s="3"/>
      <c r="E316" s="3"/>
    </row>
    <row r="317" spans="1:5" ht="16" x14ac:dyDescent="0.2">
      <c r="A317" s="14" t="s">
        <v>258</v>
      </c>
      <c r="C317" s="202"/>
      <c r="D317" s="3"/>
      <c r="E317" s="3"/>
    </row>
    <row r="318" spans="1:5" x14ac:dyDescent="0.15">
      <c r="A318" s="1"/>
      <c r="C318" s="202"/>
      <c r="D318" s="3"/>
      <c r="E318" s="3"/>
    </row>
    <row r="319" spans="1:5" x14ac:dyDescent="0.15">
      <c r="A319" s="6" t="s">
        <v>246</v>
      </c>
      <c r="C319" s="202"/>
      <c r="D319" s="3"/>
      <c r="E319" s="3"/>
    </row>
    <row r="320" spans="1:5" x14ac:dyDescent="0.15">
      <c r="A320" s="1"/>
      <c r="C320" s="202"/>
      <c r="D320" s="3"/>
      <c r="E320" s="3"/>
    </row>
    <row r="321" spans="1:5" x14ac:dyDescent="0.15">
      <c r="A321" s="1" t="s">
        <v>197</v>
      </c>
      <c r="B321" s="126">
        <v>2510810</v>
      </c>
      <c r="C321" s="202">
        <f>REMUNERATION!F37</f>
        <v>2604390.7000000002</v>
      </c>
      <c r="D321" s="3">
        <f t="shared" ref="D321:D331" si="40">ROUND(+C321*(1+D$1),-2)</f>
        <v>2755400</v>
      </c>
      <c r="E321" s="3">
        <f t="shared" ref="E321:E331" si="41">ROUND(+D321*(1+E$1),-2)</f>
        <v>2915200</v>
      </c>
    </row>
    <row r="322" spans="1:5" x14ac:dyDescent="0.15">
      <c r="A322" s="1" t="s">
        <v>231</v>
      </c>
      <c r="B322" s="126">
        <v>209234</v>
      </c>
      <c r="C322" s="202">
        <f>REMUNERATION!N37</f>
        <v>217032.55833333338</v>
      </c>
      <c r="D322" s="3">
        <f t="shared" si="40"/>
        <v>229600</v>
      </c>
      <c r="E322" s="3">
        <f t="shared" si="41"/>
        <v>242900</v>
      </c>
    </row>
    <row r="323" spans="1:5" x14ac:dyDescent="0.15">
      <c r="A323" s="1" t="s">
        <v>198</v>
      </c>
      <c r="B323" s="126">
        <v>65856</v>
      </c>
      <c r="C323" s="202">
        <f>REMUNERATION!I37</f>
        <v>67200</v>
      </c>
      <c r="D323" s="3">
        <f t="shared" si="40"/>
        <v>71100</v>
      </c>
      <c r="E323" s="3">
        <f t="shared" si="41"/>
        <v>75200</v>
      </c>
    </row>
    <row r="324" spans="1:5" x14ac:dyDescent="0.15">
      <c r="A324" s="1" t="s">
        <v>199</v>
      </c>
      <c r="B324" s="126">
        <v>348054</v>
      </c>
      <c r="C324" s="202">
        <f>REMUNERATION!H37</f>
        <v>351430.80000000005</v>
      </c>
      <c r="D324" s="3">
        <f t="shared" si="40"/>
        <v>371800</v>
      </c>
      <c r="E324" s="3">
        <f t="shared" si="41"/>
        <v>393400</v>
      </c>
    </row>
    <row r="325" spans="1:5" x14ac:dyDescent="0.15">
      <c r="A325" s="1" t="s">
        <v>200</v>
      </c>
      <c r="B325" s="126">
        <v>64800</v>
      </c>
      <c r="C325" s="202">
        <f>REMUNERATION!E36</f>
        <v>64800</v>
      </c>
      <c r="D325" s="3">
        <f t="shared" si="40"/>
        <v>68600</v>
      </c>
      <c r="E325" s="3">
        <f t="shared" si="41"/>
        <v>72600</v>
      </c>
    </row>
    <row r="326" spans="1:5" x14ac:dyDescent="0.15">
      <c r="A326" s="1" t="s">
        <v>169</v>
      </c>
      <c r="B326" s="126">
        <v>552378</v>
      </c>
      <c r="C326" s="202">
        <f>REMUNERATION!G37</f>
        <v>572965.95400000014</v>
      </c>
      <c r="D326" s="3">
        <f t="shared" si="40"/>
        <v>606200</v>
      </c>
      <c r="E326" s="3">
        <f t="shared" si="41"/>
        <v>641400</v>
      </c>
    </row>
    <row r="327" spans="1:5" x14ac:dyDescent="0.15">
      <c r="A327" s="1" t="s">
        <v>201</v>
      </c>
      <c r="B327" s="126">
        <v>581520</v>
      </c>
      <c r="C327" s="202">
        <f>REMUNERATION!K37</f>
        <v>697200</v>
      </c>
      <c r="D327" s="3">
        <f t="shared" si="40"/>
        <v>737600</v>
      </c>
      <c r="E327" s="3">
        <f t="shared" si="41"/>
        <v>780400</v>
      </c>
    </row>
    <row r="328" spans="1:5" x14ac:dyDescent="0.15">
      <c r="A328" s="1" t="s">
        <v>202</v>
      </c>
      <c r="B328" s="126">
        <v>12800</v>
      </c>
      <c r="C328" s="202">
        <v>18313</v>
      </c>
      <c r="D328" s="3">
        <f t="shared" si="40"/>
        <v>19400</v>
      </c>
      <c r="E328" s="3">
        <f t="shared" si="41"/>
        <v>20500</v>
      </c>
    </row>
    <row r="329" spans="1:5" x14ac:dyDescent="0.15">
      <c r="A329" s="8" t="s">
        <v>313</v>
      </c>
      <c r="B329" s="126">
        <v>0</v>
      </c>
      <c r="C329" s="202">
        <v>5500</v>
      </c>
      <c r="D329" s="3">
        <f t="shared" si="40"/>
        <v>5800</v>
      </c>
      <c r="E329" s="3">
        <f t="shared" ref="E329" si="42">ROUND(+D329*(1+E$1),-2)</f>
        <v>6100</v>
      </c>
    </row>
    <row r="330" spans="1:5" x14ac:dyDescent="0.15">
      <c r="A330" s="1" t="s">
        <v>203</v>
      </c>
      <c r="B330" s="126">
        <v>33674</v>
      </c>
      <c r="C330" s="202">
        <v>33674</v>
      </c>
      <c r="D330" s="3">
        <f t="shared" si="40"/>
        <v>35600</v>
      </c>
      <c r="E330" s="3">
        <f t="shared" si="41"/>
        <v>37700</v>
      </c>
    </row>
    <row r="331" spans="1:5" x14ac:dyDescent="0.15">
      <c r="A331" s="1" t="s">
        <v>204</v>
      </c>
      <c r="B331" s="126">
        <v>400</v>
      </c>
      <c r="C331" s="202">
        <f>REMUNERATION!L37</f>
        <v>744</v>
      </c>
      <c r="D331" s="3">
        <f t="shared" si="40"/>
        <v>800</v>
      </c>
      <c r="E331" s="3">
        <f t="shared" si="41"/>
        <v>800</v>
      </c>
    </row>
    <row r="332" spans="1:5" x14ac:dyDescent="0.15">
      <c r="C332" s="202"/>
      <c r="D332" s="3"/>
      <c r="E332" s="3"/>
    </row>
    <row r="333" spans="1:5" ht="12" thickBot="1" x14ac:dyDescent="0.2">
      <c r="A333" s="1" t="s">
        <v>247</v>
      </c>
      <c r="B333" s="138">
        <f>SUM(B321:B332)</f>
        <v>4379526</v>
      </c>
      <c r="C333" s="203">
        <f>SUM(C321:C332)</f>
        <v>4633251.0123333335</v>
      </c>
      <c r="D333" s="213">
        <f>SUM(D321:D332)</f>
        <v>4901900</v>
      </c>
      <c r="E333" s="213">
        <f>SUM(E321:E332)</f>
        <v>5186200</v>
      </c>
    </row>
    <row r="334" spans="1:5" ht="12" thickTop="1" x14ac:dyDescent="0.15">
      <c r="C334" s="202"/>
      <c r="D334" s="3"/>
      <c r="E334" s="3"/>
    </row>
    <row r="335" spans="1:5" x14ac:dyDescent="0.15">
      <c r="A335" s="48" t="s">
        <v>128</v>
      </c>
      <c r="C335" s="202"/>
      <c r="D335" s="3"/>
      <c r="E335" s="3"/>
    </row>
    <row r="336" spans="1:5" x14ac:dyDescent="0.15">
      <c r="A336" s="1"/>
      <c r="C336" s="202"/>
      <c r="D336" s="3"/>
      <c r="E336" s="3"/>
    </row>
    <row r="337" spans="1:5" x14ac:dyDescent="0.15">
      <c r="A337" s="1" t="s">
        <v>261</v>
      </c>
      <c r="B337" s="126">
        <v>5373980</v>
      </c>
      <c r="C337" s="202">
        <f t="shared" ref="C337:C345" si="43">B337+B337*0.07</f>
        <v>5750158.5999999996</v>
      </c>
      <c r="D337" s="3">
        <f t="shared" ref="D337:D345" si="44">ROUND(+C337*(1+D$1),-2)</f>
        <v>6083700</v>
      </c>
      <c r="E337" s="3">
        <f t="shared" ref="E337:E345" si="45">ROUND(+D337*(1+E$1),-2)</f>
        <v>6436600</v>
      </c>
    </row>
    <row r="338" spans="1:5" x14ac:dyDescent="0.15">
      <c r="A338" s="1" t="s">
        <v>262</v>
      </c>
      <c r="B338" s="126">
        <v>1499043</v>
      </c>
      <c r="C338" s="202">
        <f t="shared" si="43"/>
        <v>1603976.01</v>
      </c>
      <c r="D338" s="3">
        <f t="shared" si="44"/>
        <v>1697000</v>
      </c>
      <c r="E338" s="3">
        <f t="shared" si="45"/>
        <v>1795400</v>
      </c>
    </row>
    <row r="339" spans="1:5" x14ac:dyDescent="0.15">
      <c r="A339" s="1" t="s">
        <v>263</v>
      </c>
      <c r="B339" s="126">
        <v>5152</v>
      </c>
      <c r="C339" s="202">
        <f t="shared" si="43"/>
        <v>5512.64</v>
      </c>
      <c r="D339" s="3">
        <f t="shared" si="44"/>
        <v>5800</v>
      </c>
      <c r="E339" s="3">
        <f t="shared" si="45"/>
        <v>6100</v>
      </c>
    </row>
    <row r="340" spans="1:5" x14ac:dyDescent="0.15">
      <c r="A340" s="1" t="s">
        <v>460</v>
      </c>
      <c r="B340" s="126">
        <v>5513</v>
      </c>
      <c r="C340" s="202">
        <v>0</v>
      </c>
      <c r="D340" s="3">
        <f t="shared" si="44"/>
        <v>0</v>
      </c>
      <c r="E340" s="3">
        <f t="shared" si="45"/>
        <v>0</v>
      </c>
    </row>
    <row r="341" spans="1:5" x14ac:dyDescent="0.15">
      <c r="A341" s="1" t="s">
        <v>133</v>
      </c>
      <c r="B341" s="126">
        <v>24171</v>
      </c>
      <c r="C341" s="202">
        <f t="shared" si="43"/>
        <v>25862.97</v>
      </c>
      <c r="D341" s="3">
        <f t="shared" si="44"/>
        <v>27400</v>
      </c>
      <c r="E341" s="3">
        <f>ROUND(+D341*(1+E$1),-2)</f>
        <v>29000</v>
      </c>
    </row>
    <row r="342" spans="1:5" x14ac:dyDescent="0.15">
      <c r="A342" s="8" t="s">
        <v>134</v>
      </c>
      <c r="B342" s="126">
        <v>270010</v>
      </c>
      <c r="C342" s="202">
        <f t="shared" si="43"/>
        <v>288910.7</v>
      </c>
      <c r="D342" s="3">
        <f t="shared" si="44"/>
        <v>305700</v>
      </c>
      <c r="E342" s="3">
        <f>ROUND(+D342*(1+E$1),-2)</f>
        <v>323400</v>
      </c>
    </row>
    <row r="343" spans="1:5" x14ac:dyDescent="0.15">
      <c r="A343" s="8" t="s">
        <v>132</v>
      </c>
      <c r="B343" s="126">
        <v>277174</v>
      </c>
      <c r="C343" s="202">
        <v>533073</v>
      </c>
      <c r="D343" s="3">
        <f t="shared" si="44"/>
        <v>564000</v>
      </c>
      <c r="E343" s="3">
        <f>ROUND(+D343*(1+E$1),-2)</f>
        <v>596700</v>
      </c>
    </row>
    <row r="344" spans="1:5" x14ac:dyDescent="0.15">
      <c r="A344" s="1" t="s">
        <v>184</v>
      </c>
      <c r="B344" s="126">
        <v>42199</v>
      </c>
      <c r="C344" s="202">
        <f t="shared" si="43"/>
        <v>45152.93</v>
      </c>
      <c r="D344" s="3">
        <f t="shared" si="44"/>
        <v>47800</v>
      </c>
      <c r="E344" s="3">
        <f t="shared" si="45"/>
        <v>50600</v>
      </c>
    </row>
    <row r="345" spans="1:5" x14ac:dyDescent="0.15">
      <c r="A345" s="1" t="s">
        <v>189</v>
      </c>
      <c r="B345" s="126">
        <v>461921</v>
      </c>
      <c r="C345" s="202">
        <f t="shared" si="43"/>
        <v>494255.47000000003</v>
      </c>
      <c r="D345" s="3">
        <f t="shared" si="44"/>
        <v>522900</v>
      </c>
      <c r="E345" s="3">
        <f t="shared" si="45"/>
        <v>553200</v>
      </c>
    </row>
    <row r="346" spans="1:5" ht="12" thickBot="1" x14ac:dyDescent="0.2">
      <c r="A346" s="1"/>
      <c r="B346" s="138">
        <f>SUM(B337:B345)</f>
        <v>7959163</v>
      </c>
      <c r="C346" s="203">
        <f>SUM(C337:C345)</f>
        <v>8746902.3199999984</v>
      </c>
      <c r="D346" s="5">
        <f>SUM(D337:D345)</f>
        <v>9254300</v>
      </c>
      <c r="E346" s="5">
        <f>SUM(E337:E345)</f>
        <v>9791000</v>
      </c>
    </row>
    <row r="347" spans="1:5" ht="12" thickTop="1" x14ac:dyDescent="0.15">
      <c r="A347" s="6" t="s">
        <v>241</v>
      </c>
      <c r="C347" s="202"/>
      <c r="D347" s="3"/>
      <c r="E347" s="3"/>
    </row>
    <row r="348" spans="1:5" x14ac:dyDescent="0.15">
      <c r="A348" s="6"/>
      <c r="C348" s="202"/>
      <c r="D348" s="3"/>
      <c r="E348" s="3"/>
    </row>
    <row r="349" spans="1:5" x14ac:dyDescent="0.15">
      <c r="A349" s="1"/>
      <c r="C349" s="202"/>
      <c r="D349" s="3"/>
      <c r="E349" s="3"/>
    </row>
    <row r="350" spans="1:5" x14ac:dyDescent="0.15">
      <c r="A350" s="1" t="s">
        <v>177</v>
      </c>
      <c r="B350" s="126">
        <v>600000</v>
      </c>
      <c r="C350" s="202">
        <v>450000</v>
      </c>
      <c r="D350" s="3">
        <f t="shared" ref="D350:D361" si="46">ROUND(+C350*(1+D$1),-2)</f>
        <v>476100</v>
      </c>
      <c r="E350" s="3">
        <f t="shared" ref="E350:E361" si="47">ROUND(+D350*(1+E$1),-2)</f>
        <v>503700</v>
      </c>
    </row>
    <row r="351" spans="1:5" x14ac:dyDescent="0.15">
      <c r="A351" s="1" t="s">
        <v>322</v>
      </c>
      <c r="B351" s="126">
        <v>160000</v>
      </c>
      <c r="C351" s="202">
        <v>0</v>
      </c>
      <c r="D351" s="3">
        <f t="shared" si="46"/>
        <v>0</v>
      </c>
      <c r="E351" s="3">
        <f t="shared" si="47"/>
        <v>0</v>
      </c>
    </row>
    <row r="352" spans="1:5" x14ac:dyDescent="0.15">
      <c r="A352" s="1" t="s">
        <v>194</v>
      </c>
      <c r="B352" s="126">
        <v>104800</v>
      </c>
      <c r="C352" s="202">
        <f t="shared" ref="C352:C356" si="48">B352+B352*0.06</f>
        <v>111088</v>
      </c>
      <c r="D352" s="3">
        <f t="shared" si="46"/>
        <v>117500</v>
      </c>
      <c r="E352" s="3">
        <f t="shared" si="47"/>
        <v>124300</v>
      </c>
    </row>
    <row r="353" spans="1:5" x14ac:dyDescent="0.15">
      <c r="A353" s="104" t="s">
        <v>441</v>
      </c>
      <c r="B353" s="126">
        <v>300000</v>
      </c>
      <c r="C353" s="202">
        <v>300000</v>
      </c>
      <c r="D353" s="3">
        <f t="shared" si="46"/>
        <v>317400</v>
      </c>
      <c r="E353" s="3">
        <f t="shared" si="47"/>
        <v>335800</v>
      </c>
    </row>
    <row r="354" spans="1:5" x14ac:dyDescent="0.15">
      <c r="A354" s="1" t="s">
        <v>496</v>
      </c>
      <c r="B354" s="126">
        <v>300000</v>
      </c>
      <c r="C354" s="202">
        <v>0</v>
      </c>
      <c r="D354" s="3">
        <f t="shared" si="46"/>
        <v>0</v>
      </c>
      <c r="E354" s="3">
        <f t="shared" si="47"/>
        <v>0</v>
      </c>
    </row>
    <row r="355" spans="1:5" x14ac:dyDescent="0.15">
      <c r="A355" s="1" t="s">
        <v>195</v>
      </c>
      <c r="B355" s="126">
        <v>16585</v>
      </c>
      <c r="C355" s="202">
        <f t="shared" si="48"/>
        <v>17580.099999999999</v>
      </c>
      <c r="D355" s="3">
        <f t="shared" si="46"/>
        <v>18600</v>
      </c>
      <c r="E355" s="3">
        <f t="shared" si="47"/>
        <v>19700</v>
      </c>
    </row>
    <row r="356" spans="1:5" x14ac:dyDescent="0.15">
      <c r="A356" s="1" t="s">
        <v>303</v>
      </c>
      <c r="B356" s="126">
        <v>44226</v>
      </c>
      <c r="C356" s="202">
        <f t="shared" si="48"/>
        <v>46879.56</v>
      </c>
      <c r="D356" s="3">
        <f t="shared" si="46"/>
        <v>49600</v>
      </c>
      <c r="E356" s="3">
        <f t="shared" si="47"/>
        <v>52500</v>
      </c>
    </row>
    <row r="357" spans="1:5" x14ac:dyDescent="0.15">
      <c r="A357" s="1" t="s">
        <v>191</v>
      </c>
      <c r="B357" s="126">
        <v>829567</v>
      </c>
      <c r="C357" s="202">
        <v>850000</v>
      </c>
      <c r="D357" s="3">
        <f t="shared" si="46"/>
        <v>899300</v>
      </c>
      <c r="E357" s="3">
        <f t="shared" si="47"/>
        <v>951500</v>
      </c>
    </row>
    <row r="358" spans="1:5" x14ac:dyDescent="0.15">
      <c r="A358" s="1" t="s">
        <v>323</v>
      </c>
      <c r="B358" s="126">
        <v>264882</v>
      </c>
      <c r="C358" s="202">
        <v>100000</v>
      </c>
      <c r="D358" s="3">
        <f t="shared" si="46"/>
        <v>105800</v>
      </c>
      <c r="E358" s="3">
        <f t="shared" si="47"/>
        <v>111900</v>
      </c>
    </row>
    <row r="359" spans="1:5" x14ac:dyDescent="0.15">
      <c r="A359" s="1" t="s">
        <v>196</v>
      </c>
      <c r="B359" s="126">
        <v>8384</v>
      </c>
      <c r="C359" s="202">
        <v>0</v>
      </c>
      <c r="D359" s="3">
        <f t="shared" si="46"/>
        <v>0</v>
      </c>
      <c r="E359" s="3">
        <f t="shared" si="47"/>
        <v>0</v>
      </c>
    </row>
    <row r="360" spans="1:5" x14ac:dyDescent="0.15">
      <c r="A360" s="1" t="s">
        <v>565</v>
      </c>
      <c r="B360" s="126">
        <v>800000</v>
      </c>
      <c r="C360" s="202">
        <v>900000</v>
      </c>
      <c r="D360" s="3">
        <f t="shared" si="46"/>
        <v>952200</v>
      </c>
      <c r="E360" s="3">
        <v>1007600</v>
      </c>
    </row>
    <row r="361" spans="1:5" x14ac:dyDescent="0.15">
      <c r="A361" s="1" t="s">
        <v>324</v>
      </c>
      <c r="B361" s="126">
        <v>104800</v>
      </c>
      <c r="C361" s="202">
        <v>0</v>
      </c>
      <c r="D361" s="3">
        <f t="shared" si="46"/>
        <v>0</v>
      </c>
      <c r="E361" s="3">
        <f t="shared" si="47"/>
        <v>0</v>
      </c>
    </row>
    <row r="362" spans="1:5" ht="12" thickBot="1" x14ac:dyDescent="0.2">
      <c r="A362" s="1" t="s">
        <v>248</v>
      </c>
      <c r="B362" s="138">
        <f>SUM(B350:B361)</f>
        <v>3533244</v>
      </c>
      <c r="C362" s="203">
        <f>SUM(C350:C361)</f>
        <v>2775547.66</v>
      </c>
      <c r="D362" s="138">
        <f>SUM(D349:D361)</f>
        <v>2936500</v>
      </c>
      <c r="E362" s="138">
        <f>SUM(E349:E361)</f>
        <v>3107000</v>
      </c>
    </row>
    <row r="363" spans="1:5" ht="12" thickTop="1" x14ac:dyDescent="0.15">
      <c r="C363" s="202"/>
      <c r="D363" s="3"/>
      <c r="E363" s="3"/>
    </row>
    <row r="364" spans="1:5" x14ac:dyDescent="0.15">
      <c r="A364" s="6" t="s">
        <v>249</v>
      </c>
      <c r="C364" s="202"/>
      <c r="D364" s="3"/>
      <c r="E364" s="3"/>
    </row>
    <row r="365" spans="1:5" x14ac:dyDescent="0.15">
      <c r="A365" s="1"/>
      <c r="C365" s="202"/>
      <c r="D365" s="3"/>
      <c r="E365" s="3"/>
    </row>
    <row r="366" spans="1:5" x14ac:dyDescent="0.15">
      <c r="A366" s="1" t="s">
        <v>282</v>
      </c>
      <c r="B366" s="126">
        <v>15720</v>
      </c>
      <c r="C366" s="202">
        <v>0</v>
      </c>
      <c r="D366" s="3">
        <f t="shared" ref="D366:D367" si="49">ROUND(+C366*(1+D$1),-2)</f>
        <v>0</v>
      </c>
      <c r="E366" s="3">
        <f t="shared" ref="E366:E367" si="50">ROUND(+D366*(1+E$1),-2)</f>
        <v>0</v>
      </c>
    </row>
    <row r="367" spans="1:5" x14ac:dyDescent="0.15">
      <c r="A367" s="1" t="s">
        <v>283</v>
      </c>
      <c r="B367" s="126">
        <v>69520</v>
      </c>
      <c r="C367" s="202">
        <v>0</v>
      </c>
      <c r="D367" s="3">
        <f t="shared" si="49"/>
        <v>0</v>
      </c>
      <c r="E367" s="3">
        <f t="shared" si="50"/>
        <v>0</v>
      </c>
    </row>
    <row r="368" spans="1:5" x14ac:dyDescent="0.15">
      <c r="B368" s="126"/>
      <c r="C368" s="202"/>
      <c r="D368" s="3"/>
      <c r="E368" s="3"/>
    </row>
    <row r="369" spans="1:5" ht="12" thickBot="1" x14ac:dyDescent="0.2">
      <c r="A369" s="1" t="s">
        <v>250</v>
      </c>
      <c r="B369" s="138">
        <f>SUM(B366:B368)</f>
        <v>85240</v>
      </c>
      <c r="C369" s="203">
        <f>SUM(C366:C368)</f>
        <v>0</v>
      </c>
      <c r="D369" s="5">
        <f>SUM(D366:D368)</f>
        <v>0</v>
      </c>
      <c r="E369" s="5">
        <f>SUM(E366:E368)</f>
        <v>0</v>
      </c>
    </row>
    <row r="370" spans="1:5" ht="12" thickTop="1" x14ac:dyDescent="0.15">
      <c r="C370" s="202"/>
      <c r="D370" s="3"/>
      <c r="E370" s="3"/>
    </row>
    <row r="371" spans="1:5" x14ac:dyDescent="0.15">
      <c r="A371" s="6" t="s">
        <v>251</v>
      </c>
      <c r="C371" s="202"/>
      <c r="D371" s="3"/>
      <c r="E371" s="3"/>
    </row>
    <row r="372" spans="1:5" x14ac:dyDescent="0.15">
      <c r="A372" s="1"/>
      <c r="C372" s="202"/>
      <c r="D372" s="3"/>
      <c r="E372" s="3"/>
    </row>
    <row r="373" spans="1:5" ht="12" thickBot="1" x14ac:dyDescent="0.2">
      <c r="A373" s="1" t="s">
        <v>252</v>
      </c>
      <c r="B373" s="10">
        <f>B384</f>
        <v>0</v>
      </c>
      <c r="C373" s="203">
        <f>C384</f>
        <v>0</v>
      </c>
      <c r="D373" s="5">
        <f>D384</f>
        <v>0</v>
      </c>
      <c r="E373" s="5">
        <f>E384</f>
        <v>0</v>
      </c>
    </row>
    <row r="374" spans="1:5" ht="12" thickTop="1" x14ac:dyDescent="0.15">
      <c r="C374" s="202"/>
      <c r="D374" s="3"/>
      <c r="E374" s="3"/>
    </row>
    <row r="375" spans="1:5" x14ac:dyDescent="0.15">
      <c r="C375" s="202"/>
      <c r="D375" s="3"/>
      <c r="E375" s="3"/>
    </row>
    <row r="376" spans="1:5" ht="12" thickBot="1" x14ac:dyDescent="0.2">
      <c r="A376" s="1" t="s">
        <v>157</v>
      </c>
      <c r="B376" s="138">
        <f>B373+B369+B362+B333+B346</f>
        <v>15957173</v>
      </c>
      <c r="C376" s="203">
        <f>C373+C369+C362+C333+C346</f>
        <v>16155700.992333332</v>
      </c>
      <c r="D376" s="10">
        <f>D373+D369+D362+D333+D346</f>
        <v>17092700</v>
      </c>
      <c r="E376" s="10">
        <f>E373+E369+E362+E333+E346</f>
        <v>18084200</v>
      </c>
    </row>
    <row r="377" spans="1:5" ht="12" thickTop="1" x14ac:dyDescent="0.15">
      <c r="C377" s="202"/>
      <c r="D377" s="3"/>
      <c r="E377" s="3"/>
    </row>
    <row r="378" spans="1:5" x14ac:dyDescent="0.15">
      <c r="A378" s="6" t="s">
        <v>251</v>
      </c>
      <c r="C378" s="202"/>
      <c r="D378" s="3"/>
      <c r="E378" s="3"/>
    </row>
    <row r="379" spans="1:5" x14ac:dyDescent="0.15">
      <c r="A379" s="1"/>
      <c r="C379" s="202"/>
      <c r="D379" s="3"/>
      <c r="E379" s="3"/>
    </row>
    <row r="380" spans="1:5" x14ac:dyDescent="0.15">
      <c r="A380" s="1" t="s">
        <v>288</v>
      </c>
      <c r="C380" s="202">
        <f t="shared" ref="C380:C382" si="51">B380+B380*0.06</f>
        <v>0</v>
      </c>
      <c r="D380" s="3">
        <f>ROUND(+C380*(1+D$1),-2)</f>
        <v>0</v>
      </c>
      <c r="E380" s="3">
        <f t="shared" ref="E380:E382" si="52">ROUND(+D380*(1+E$1),-2)</f>
        <v>0</v>
      </c>
    </row>
    <row r="381" spans="1:5" x14ac:dyDescent="0.15">
      <c r="A381" s="1" t="s">
        <v>289</v>
      </c>
      <c r="C381" s="202">
        <f t="shared" si="51"/>
        <v>0</v>
      </c>
      <c r="D381" s="3">
        <f>ROUND(+C381*(1+D$1),-2)</f>
        <v>0</v>
      </c>
      <c r="E381" s="3">
        <f t="shared" si="52"/>
        <v>0</v>
      </c>
    </row>
    <row r="382" spans="1:5" x14ac:dyDescent="0.15">
      <c r="A382" s="1" t="s">
        <v>290</v>
      </c>
      <c r="C382" s="202">
        <f t="shared" si="51"/>
        <v>0</v>
      </c>
      <c r="D382" s="3">
        <f>ROUND(+C382*(1+D$1),-2)</f>
        <v>0</v>
      </c>
      <c r="E382" s="3">
        <f t="shared" si="52"/>
        <v>0</v>
      </c>
    </row>
    <row r="383" spans="1:5" x14ac:dyDescent="0.15">
      <c r="C383" s="202"/>
      <c r="D383" s="3"/>
      <c r="E383" s="3"/>
    </row>
    <row r="384" spans="1:5" ht="12" thickBot="1" x14ac:dyDescent="0.2">
      <c r="A384" s="1" t="s">
        <v>165</v>
      </c>
      <c r="B384" s="10">
        <f>SUM(B380:B382)</f>
        <v>0</v>
      </c>
      <c r="C384" s="203">
        <f>SUM(C380:C382)</f>
        <v>0</v>
      </c>
      <c r="D384" s="5">
        <f>SUM(D380:D382)</f>
        <v>0</v>
      </c>
      <c r="E384" s="5">
        <f>SUM(E380:E382)</f>
        <v>0</v>
      </c>
    </row>
    <row r="385" spans="1:5" ht="12" thickTop="1" x14ac:dyDescent="0.15">
      <c r="A385" s="1"/>
      <c r="B385" s="156"/>
      <c r="C385" s="240"/>
      <c r="D385" s="3"/>
      <c r="E385" s="3"/>
    </row>
    <row r="386" spans="1:5" x14ac:dyDescent="0.15">
      <c r="A386" s="1"/>
      <c r="B386" s="156" t="s">
        <v>245</v>
      </c>
      <c r="C386" s="200" t="s">
        <v>245</v>
      </c>
      <c r="D386" s="48" t="s">
        <v>245</v>
      </c>
      <c r="E386" s="48" t="s">
        <v>245</v>
      </c>
    </row>
    <row r="387" spans="1:5" x14ac:dyDescent="0.15">
      <c r="B387" s="184" t="str">
        <f>B9</f>
        <v>2015/2016</v>
      </c>
      <c r="C387" s="207" t="str">
        <f>C9</f>
        <v>2016/2017</v>
      </c>
      <c r="D387" s="161" t="str">
        <f>D9</f>
        <v>2017/2018</v>
      </c>
      <c r="E387" s="161" t="str">
        <f>E9</f>
        <v>2018/2019</v>
      </c>
    </row>
    <row r="388" spans="1:5" x14ac:dyDescent="0.15">
      <c r="A388" s="1"/>
      <c r="C388" s="202"/>
      <c r="D388" s="3"/>
      <c r="E388" s="3"/>
    </row>
    <row r="389" spans="1:5" ht="16" x14ac:dyDescent="0.2">
      <c r="A389" s="14" t="s">
        <v>18</v>
      </c>
      <c r="C389" s="202"/>
      <c r="D389" s="3"/>
      <c r="E389" s="3"/>
    </row>
    <row r="390" spans="1:5" x14ac:dyDescent="0.15">
      <c r="A390" s="1"/>
      <c r="C390" s="202"/>
      <c r="D390" s="3"/>
      <c r="E390" s="3"/>
    </row>
    <row r="391" spans="1:5" x14ac:dyDescent="0.15">
      <c r="A391" s="6" t="s">
        <v>246</v>
      </c>
      <c r="C391" s="202"/>
      <c r="D391" s="3"/>
      <c r="E391" s="3"/>
    </row>
    <row r="392" spans="1:5" x14ac:dyDescent="0.15">
      <c r="A392" s="1"/>
      <c r="C392" s="202"/>
      <c r="D392" s="3"/>
      <c r="E392" s="3"/>
    </row>
    <row r="393" spans="1:5" x14ac:dyDescent="0.15">
      <c r="A393" s="1" t="s">
        <v>197</v>
      </c>
      <c r="B393" s="126">
        <v>239940</v>
      </c>
      <c r="C393" s="202">
        <f>REMUNERATION!F45</f>
        <v>261588.25000000003</v>
      </c>
      <c r="D393" s="3">
        <f t="shared" ref="D393:D403" si="53">ROUND(+C393*(1+D$1),-2)</f>
        <v>276800</v>
      </c>
      <c r="E393" s="3">
        <f t="shared" ref="E393:E403" si="54">ROUND(+D393*(1+E$1),-2)</f>
        <v>292900</v>
      </c>
    </row>
    <row r="394" spans="1:5" x14ac:dyDescent="0.15">
      <c r="A394" s="1" t="s">
        <v>231</v>
      </c>
      <c r="B394" s="126">
        <v>19995</v>
      </c>
      <c r="C394" s="202">
        <f>REMUNERATION!N45</f>
        <v>21799.020833333336</v>
      </c>
      <c r="D394" s="3">
        <f t="shared" si="53"/>
        <v>23100</v>
      </c>
      <c r="E394" s="3">
        <f t="shared" si="54"/>
        <v>24400</v>
      </c>
    </row>
    <row r="395" spans="1:5" x14ac:dyDescent="0.15">
      <c r="A395" s="1" t="s">
        <v>193</v>
      </c>
      <c r="B395" s="126">
        <v>0</v>
      </c>
      <c r="C395" s="202">
        <f>REMUNERATION!N46</f>
        <v>0</v>
      </c>
      <c r="D395" s="3">
        <f t="shared" si="53"/>
        <v>0</v>
      </c>
      <c r="E395" s="3">
        <f t="shared" si="54"/>
        <v>0</v>
      </c>
    </row>
    <row r="396" spans="1:5" x14ac:dyDescent="0.15">
      <c r="A396" s="1" t="s">
        <v>198</v>
      </c>
      <c r="B396" s="126">
        <v>8232</v>
      </c>
      <c r="C396" s="202">
        <f>REMUNERATION!I45</f>
        <v>8400</v>
      </c>
      <c r="D396" s="3">
        <f t="shared" si="53"/>
        <v>8900</v>
      </c>
      <c r="E396" s="3">
        <f t="shared" si="54"/>
        <v>9400</v>
      </c>
    </row>
    <row r="397" spans="1:5" x14ac:dyDescent="0.15">
      <c r="A397" s="1" t="s">
        <v>199</v>
      </c>
      <c r="B397" s="126">
        <v>43507</v>
      </c>
      <c r="C397" s="202">
        <f>REMUNERATION!H45</f>
        <v>43103.880000000005</v>
      </c>
      <c r="D397" s="3">
        <f t="shared" si="53"/>
        <v>45600</v>
      </c>
      <c r="E397" s="3">
        <f t="shared" si="54"/>
        <v>48200</v>
      </c>
    </row>
    <row r="398" spans="1:5" x14ac:dyDescent="0.15">
      <c r="A398" s="1" t="s">
        <v>200</v>
      </c>
      <c r="B398" s="126">
        <v>0</v>
      </c>
      <c r="C398" s="202">
        <f>REMUNERATION!H47</f>
        <v>0</v>
      </c>
      <c r="D398" s="3">
        <f t="shared" si="53"/>
        <v>0</v>
      </c>
      <c r="E398" s="3">
        <f t="shared" si="54"/>
        <v>0</v>
      </c>
    </row>
    <row r="399" spans="1:5" x14ac:dyDescent="0.15">
      <c r="A399" s="1" t="s">
        <v>169</v>
      </c>
      <c r="B399" s="126">
        <v>52787</v>
      </c>
      <c r="C399" s="202">
        <f>REMUNERATION!G45</f>
        <v>57549.415000000008</v>
      </c>
      <c r="D399" s="3">
        <f t="shared" si="53"/>
        <v>60900</v>
      </c>
      <c r="E399" s="3">
        <f t="shared" si="54"/>
        <v>64400</v>
      </c>
    </row>
    <row r="400" spans="1:5" x14ac:dyDescent="0.15">
      <c r="A400" s="1" t="s">
        <v>201</v>
      </c>
      <c r="B400" s="126">
        <v>0</v>
      </c>
      <c r="C400" s="202"/>
      <c r="D400" s="3">
        <f t="shared" si="53"/>
        <v>0</v>
      </c>
      <c r="E400" s="3">
        <f t="shared" si="54"/>
        <v>0</v>
      </c>
    </row>
    <row r="401" spans="1:5" x14ac:dyDescent="0.15">
      <c r="A401" s="1" t="s">
        <v>202</v>
      </c>
      <c r="B401" s="126">
        <v>1600</v>
      </c>
      <c r="C401" s="202">
        <f>REMUNERATION!J45</f>
        <v>1926</v>
      </c>
      <c r="D401" s="3">
        <f t="shared" si="53"/>
        <v>2000</v>
      </c>
      <c r="E401" s="3">
        <f t="shared" si="54"/>
        <v>2100</v>
      </c>
    </row>
    <row r="402" spans="1:5" x14ac:dyDescent="0.15">
      <c r="A402" s="1" t="s">
        <v>203</v>
      </c>
      <c r="B402" s="126">
        <v>2682</v>
      </c>
      <c r="C402" s="202">
        <f>REMUNERATION!M45</f>
        <v>2917.8727083333338</v>
      </c>
      <c r="D402" s="3">
        <f t="shared" si="53"/>
        <v>3100</v>
      </c>
      <c r="E402" s="3">
        <f t="shared" si="54"/>
        <v>3300</v>
      </c>
    </row>
    <row r="403" spans="1:5" x14ac:dyDescent="0.15">
      <c r="A403" s="1" t="s">
        <v>204</v>
      </c>
      <c r="B403" s="126">
        <v>50</v>
      </c>
      <c r="C403" s="202">
        <f>REMUNERATION!L45</f>
        <v>93</v>
      </c>
      <c r="D403" s="3">
        <f t="shared" si="53"/>
        <v>100</v>
      </c>
      <c r="E403" s="3">
        <f t="shared" si="54"/>
        <v>100</v>
      </c>
    </row>
    <row r="404" spans="1:5" x14ac:dyDescent="0.15">
      <c r="C404" s="202"/>
      <c r="D404" s="3"/>
      <c r="E404" s="3"/>
    </row>
    <row r="405" spans="1:5" ht="12" thickBot="1" x14ac:dyDescent="0.2">
      <c r="A405" s="1" t="s">
        <v>247</v>
      </c>
      <c r="B405" s="138">
        <f>SUM(B393:B404)</f>
        <v>368793</v>
      </c>
      <c r="C405" s="203">
        <f>SUM(C393:C404)</f>
        <v>397377.43854166672</v>
      </c>
      <c r="D405" s="213">
        <f>SUM(D393:D404)</f>
        <v>420500</v>
      </c>
      <c r="E405" s="213">
        <f>SUM(E393:E404)</f>
        <v>444800</v>
      </c>
    </row>
    <row r="406" spans="1:5" ht="12" thickTop="1" x14ac:dyDescent="0.15">
      <c r="C406" s="202"/>
      <c r="D406" s="3"/>
      <c r="E406" s="3"/>
    </row>
    <row r="407" spans="1:5" x14ac:dyDescent="0.15">
      <c r="A407" s="48" t="s">
        <v>128</v>
      </c>
      <c r="C407" s="202"/>
      <c r="D407" s="3"/>
      <c r="E407" s="3"/>
    </row>
    <row r="408" spans="1:5" x14ac:dyDescent="0.15">
      <c r="A408" s="1"/>
      <c r="C408" s="202"/>
      <c r="D408" s="3"/>
      <c r="E408" s="3"/>
    </row>
    <row r="409" spans="1:5" x14ac:dyDescent="0.15">
      <c r="A409" s="1" t="s">
        <v>261</v>
      </c>
      <c r="B409" s="126">
        <v>477706</v>
      </c>
      <c r="C409" s="202">
        <f t="shared" ref="C409:C414" si="55">B409+B409*0.07</f>
        <v>511145.42</v>
      </c>
      <c r="D409" s="3">
        <f t="shared" ref="D409:D414" si="56">ROUND(+C409*(1+D$1),-2)</f>
        <v>540800</v>
      </c>
      <c r="E409" s="3">
        <f t="shared" ref="E409:E414" si="57">ROUND(+D409*(1+E$1),-2)</f>
        <v>572200</v>
      </c>
    </row>
    <row r="410" spans="1:5" x14ac:dyDescent="0.15">
      <c r="A410" s="1" t="s">
        <v>262</v>
      </c>
      <c r="B410" s="126">
        <v>181165</v>
      </c>
      <c r="C410" s="202">
        <f t="shared" si="55"/>
        <v>193846.55</v>
      </c>
      <c r="D410" s="3">
        <f t="shared" si="56"/>
        <v>205100</v>
      </c>
      <c r="E410" s="3">
        <f t="shared" si="57"/>
        <v>217000</v>
      </c>
    </row>
    <row r="411" spans="1:5" x14ac:dyDescent="0.15">
      <c r="A411" s="1" t="s">
        <v>263</v>
      </c>
      <c r="B411" s="126">
        <v>0</v>
      </c>
      <c r="C411" s="202">
        <f t="shared" si="55"/>
        <v>0</v>
      </c>
      <c r="D411" s="3">
        <f t="shared" si="56"/>
        <v>0</v>
      </c>
      <c r="E411" s="3">
        <f t="shared" si="57"/>
        <v>0</v>
      </c>
    </row>
    <row r="412" spans="1:5" x14ac:dyDescent="0.15">
      <c r="A412" s="1" t="s">
        <v>133</v>
      </c>
      <c r="B412" s="126">
        <v>24171</v>
      </c>
      <c r="C412" s="202">
        <f t="shared" si="55"/>
        <v>25862.97</v>
      </c>
      <c r="D412" s="3">
        <f t="shared" si="56"/>
        <v>27400</v>
      </c>
      <c r="E412" s="3">
        <f t="shared" si="57"/>
        <v>29000</v>
      </c>
    </row>
    <row r="413" spans="1:5" x14ac:dyDescent="0.15">
      <c r="A413" s="1" t="s">
        <v>184</v>
      </c>
      <c r="B413" s="126">
        <v>20036</v>
      </c>
      <c r="C413" s="202">
        <f t="shared" si="55"/>
        <v>21438.52</v>
      </c>
      <c r="D413" s="3">
        <f t="shared" si="56"/>
        <v>22700</v>
      </c>
      <c r="E413" s="3">
        <f t="shared" si="57"/>
        <v>24000</v>
      </c>
    </row>
    <row r="414" spans="1:5" x14ac:dyDescent="0.15">
      <c r="A414" s="1" t="s">
        <v>189</v>
      </c>
      <c r="B414" s="126">
        <v>67906</v>
      </c>
      <c r="C414" s="202">
        <f t="shared" si="55"/>
        <v>72659.42</v>
      </c>
      <c r="D414" s="3">
        <f t="shared" si="56"/>
        <v>76900</v>
      </c>
      <c r="E414" s="3">
        <f t="shared" si="57"/>
        <v>81400</v>
      </c>
    </row>
    <row r="415" spans="1:5" ht="12" thickBot="1" x14ac:dyDescent="0.2">
      <c r="A415" s="1"/>
      <c r="B415" s="138">
        <f>SUM(B409:B414)</f>
        <v>770984</v>
      </c>
      <c r="C415" s="203">
        <f>SUM(C409:C414)</f>
        <v>824952.88</v>
      </c>
      <c r="D415" s="5">
        <f>SUM(D409:D414)</f>
        <v>872900</v>
      </c>
      <c r="E415" s="5">
        <f>SUM(E409:E414)</f>
        <v>923600</v>
      </c>
    </row>
    <row r="416" spans="1:5" ht="12" thickTop="1" x14ac:dyDescent="0.15">
      <c r="A416" s="6" t="s">
        <v>241</v>
      </c>
      <c r="C416" s="202"/>
      <c r="D416" s="3"/>
      <c r="E416" s="3"/>
    </row>
    <row r="417" spans="1:5" x14ac:dyDescent="0.15">
      <c r="A417" s="1"/>
      <c r="C417" s="202"/>
      <c r="D417" s="3"/>
      <c r="E417" s="3"/>
    </row>
    <row r="418" spans="1:5" x14ac:dyDescent="0.15">
      <c r="A418" s="1" t="s">
        <v>177</v>
      </c>
      <c r="B418" s="126">
        <v>10480</v>
      </c>
      <c r="C418" s="202">
        <f t="shared" ref="C418:C422" si="58">B418+B418*0.06</f>
        <v>11108.8</v>
      </c>
      <c r="D418" s="3">
        <f t="shared" ref="D418:D423" si="59">ROUND(+C418*(1+D$1),-2)</f>
        <v>11800</v>
      </c>
      <c r="E418" s="3">
        <f t="shared" ref="E418:E423" si="60">ROUND(+D418*(1+E$1),-2)</f>
        <v>12500</v>
      </c>
    </row>
    <row r="419" spans="1:5" x14ac:dyDescent="0.15">
      <c r="A419" s="1" t="s">
        <v>194</v>
      </c>
      <c r="B419" s="126">
        <v>18105</v>
      </c>
      <c r="C419" s="202">
        <f t="shared" si="58"/>
        <v>19191.3</v>
      </c>
      <c r="D419" s="3">
        <f t="shared" si="59"/>
        <v>20300</v>
      </c>
      <c r="E419" s="3">
        <f t="shared" si="60"/>
        <v>21500</v>
      </c>
    </row>
    <row r="420" spans="1:5" x14ac:dyDescent="0.15">
      <c r="A420" s="1" t="s">
        <v>195</v>
      </c>
      <c r="B420" s="126">
        <v>11056</v>
      </c>
      <c r="C420" s="202">
        <v>16000</v>
      </c>
      <c r="D420" s="3">
        <f t="shared" si="59"/>
        <v>16900</v>
      </c>
      <c r="E420" s="3">
        <f t="shared" si="60"/>
        <v>17900</v>
      </c>
    </row>
    <row r="421" spans="1:5" x14ac:dyDescent="0.15">
      <c r="A421" s="1" t="s">
        <v>303</v>
      </c>
      <c r="B421" s="126">
        <v>5528</v>
      </c>
      <c r="C421" s="202">
        <f t="shared" si="58"/>
        <v>5859.68</v>
      </c>
      <c r="D421" s="3">
        <f t="shared" si="59"/>
        <v>6200</v>
      </c>
      <c r="E421" s="3">
        <f t="shared" si="60"/>
        <v>6600</v>
      </c>
    </row>
    <row r="422" spans="1:5" x14ac:dyDescent="0.15">
      <c r="A422" s="1" t="s">
        <v>191</v>
      </c>
      <c r="B422" s="126">
        <v>31851</v>
      </c>
      <c r="C422" s="202">
        <f t="shared" si="58"/>
        <v>33762.06</v>
      </c>
      <c r="D422" s="3">
        <f t="shared" si="59"/>
        <v>35700</v>
      </c>
      <c r="E422" s="3">
        <f t="shared" si="60"/>
        <v>37800</v>
      </c>
    </row>
    <row r="423" spans="1:5" x14ac:dyDescent="0.15">
      <c r="A423" s="2" t="s">
        <v>370</v>
      </c>
      <c r="B423" s="126">
        <v>330000</v>
      </c>
      <c r="C423" s="202">
        <v>300000</v>
      </c>
      <c r="D423" s="3">
        <f t="shared" si="59"/>
        <v>317400</v>
      </c>
      <c r="E423" s="3">
        <f t="shared" si="60"/>
        <v>335800</v>
      </c>
    </row>
    <row r="424" spans="1:5" ht="12" thickBot="1" x14ac:dyDescent="0.2">
      <c r="A424" s="1" t="s">
        <v>248</v>
      </c>
      <c r="B424" s="138">
        <f>SUM(B418:B423)</f>
        <v>407020</v>
      </c>
      <c r="C424" s="203">
        <f>SUM(C418:C423)</f>
        <v>385921.83999999997</v>
      </c>
      <c r="D424" s="5">
        <f>SUM(D418:D423)</f>
        <v>408300</v>
      </c>
      <c r="E424" s="5">
        <f>SUM(E418:E423)</f>
        <v>432100</v>
      </c>
    </row>
    <row r="425" spans="1:5" ht="12" thickTop="1" x14ac:dyDescent="0.15">
      <c r="C425" s="202"/>
      <c r="D425" s="3"/>
      <c r="E425" s="3"/>
    </row>
    <row r="426" spans="1:5" x14ac:dyDescent="0.15">
      <c r="A426" s="6" t="s">
        <v>249</v>
      </c>
      <c r="C426" s="202"/>
      <c r="D426" s="3"/>
      <c r="E426" s="3"/>
    </row>
    <row r="427" spans="1:5" x14ac:dyDescent="0.15">
      <c r="A427" s="1"/>
      <c r="C427" s="202"/>
      <c r="D427" s="3"/>
      <c r="E427" s="3"/>
    </row>
    <row r="428" spans="1:5" x14ac:dyDescent="0.15">
      <c r="A428" s="1" t="s">
        <v>282</v>
      </c>
      <c r="B428" s="126">
        <v>10480</v>
      </c>
      <c r="C428" s="202">
        <v>0</v>
      </c>
      <c r="D428" s="3">
        <f t="shared" ref="D428:D429" si="61">ROUND(+C428*(1+D$1),-2)</f>
        <v>0</v>
      </c>
      <c r="E428" s="3">
        <f t="shared" ref="E428:E429" si="62">ROUND(+D428*(1+E$1),-2)</f>
        <v>0</v>
      </c>
    </row>
    <row r="429" spans="1:5" x14ac:dyDescent="0.15">
      <c r="A429" s="1" t="s">
        <v>283</v>
      </c>
      <c r="B429" s="126">
        <v>10480</v>
      </c>
      <c r="C429" s="202">
        <v>0</v>
      </c>
      <c r="D429" s="3">
        <f t="shared" si="61"/>
        <v>0</v>
      </c>
      <c r="E429" s="3">
        <f t="shared" si="62"/>
        <v>0</v>
      </c>
    </row>
    <row r="430" spans="1:5" x14ac:dyDescent="0.15">
      <c r="B430" s="126"/>
      <c r="C430" s="202"/>
      <c r="D430" s="3"/>
      <c r="E430" s="3"/>
    </row>
    <row r="431" spans="1:5" ht="12" thickBot="1" x14ac:dyDescent="0.2">
      <c r="A431" s="1" t="s">
        <v>250</v>
      </c>
      <c r="B431" s="138">
        <f>SUM(B428:B430)</f>
        <v>20960</v>
      </c>
      <c r="C431" s="203">
        <f>SUM(C428:C430)</f>
        <v>0</v>
      </c>
      <c r="D431" s="5">
        <f>SUM(D428:D430)</f>
        <v>0</v>
      </c>
      <c r="E431" s="5">
        <f>SUM(E428:E430)</f>
        <v>0</v>
      </c>
    </row>
    <row r="432" spans="1:5" ht="12" thickTop="1" x14ac:dyDescent="0.15">
      <c r="C432" s="202"/>
      <c r="D432" s="3"/>
      <c r="E432" s="3"/>
    </row>
    <row r="433" spans="1:5" x14ac:dyDescent="0.15">
      <c r="A433" s="6" t="s">
        <v>251</v>
      </c>
      <c r="C433" s="202"/>
      <c r="D433" s="3"/>
      <c r="E433" s="3"/>
    </row>
    <row r="434" spans="1:5" x14ac:dyDescent="0.15">
      <c r="A434" s="1"/>
      <c r="C434" s="202"/>
      <c r="D434" s="3"/>
      <c r="E434" s="3"/>
    </row>
    <row r="435" spans="1:5" ht="12" thickBot="1" x14ac:dyDescent="0.2">
      <c r="A435" s="1" t="s">
        <v>252</v>
      </c>
      <c r="B435" s="138">
        <f>B446</f>
        <v>10480</v>
      </c>
      <c r="C435" s="203">
        <f>C446</f>
        <v>0</v>
      </c>
      <c r="D435" s="5">
        <f>D446</f>
        <v>0</v>
      </c>
      <c r="E435" s="5">
        <f>E446</f>
        <v>0</v>
      </c>
    </row>
    <row r="436" spans="1:5" ht="12" thickTop="1" x14ac:dyDescent="0.15">
      <c r="C436" s="202"/>
      <c r="D436" s="3"/>
      <c r="E436" s="3"/>
    </row>
    <row r="437" spans="1:5" x14ac:dyDescent="0.15">
      <c r="C437" s="202"/>
      <c r="D437" s="3"/>
      <c r="E437" s="3"/>
    </row>
    <row r="438" spans="1:5" ht="12" thickBot="1" x14ac:dyDescent="0.2">
      <c r="A438" s="1" t="s">
        <v>157</v>
      </c>
      <c r="B438" s="138">
        <f>B435+B431+B424+B405+B415</f>
        <v>1578237</v>
      </c>
      <c r="C438" s="203">
        <f>C435+C431+C424+C405+C415</f>
        <v>1608252.1585416668</v>
      </c>
      <c r="D438" s="10">
        <f>D435+D431+D424+D405+D415</f>
        <v>1701700</v>
      </c>
      <c r="E438" s="10">
        <f>E435+E431+E424+E405+E415</f>
        <v>1800500</v>
      </c>
    </row>
    <row r="439" spans="1:5" ht="12" thickTop="1" x14ac:dyDescent="0.15">
      <c r="C439" s="202"/>
      <c r="D439" s="3"/>
      <c r="E439" s="3"/>
    </row>
    <row r="440" spans="1:5" x14ac:dyDescent="0.15">
      <c r="A440" s="6" t="s">
        <v>251</v>
      </c>
      <c r="C440" s="202"/>
      <c r="D440" s="3"/>
      <c r="E440" s="3"/>
    </row>
    <row r="441" spans="1:5" x14ac:dyDescent="0.15">
      <c r="A441" s="1"/>
      <c r="C441" s="202"/>
      <c r="D441" s="3"/>
      <c r="E441" s="3"/>
    </row>
    <row r="442" spans="1:5" x14ac:dyDescent="0.15">
      <c r="A442" s="1" t="s">
        <v>288</v>
      </c>
      <c r="B442" s="126">
        <v>10480</v>
      </c>
      <c r="C442" s="202">
        <v>0</v>
      </c>
      <c r="D442" s="3">
        <f t="shared" ref="D442:D444" si="63">ROUND(+C442*(1+D$1),-2)</f>
        <v>0</v>
      </c>
      <c r="E442" s="3">
        <f t="shared" ref="E442:E444" si="64">ROUND(+D442*(1+E$1),-2)</f>
        <v>0</v>
      </c>
    </row>
    <row r="443" spans="1:5" x14ac:dyDescent="0.15">
      <c r="A443" s="1" t="s">
        <v>289</v>
      </c>
      <c r="B443" s="126"/>
      <c r="C443" s="202">
        <f t="shared" ref="C443:C444" si="65">B443+B443*0.06</f>
        <v>0</v>
      </c>
      <c r="D443" s="3">
        <f t="shared" si="63"/>
        <v>0</v>
      </c>
      <c r="E443" s="3">
        <f t="shared" si="64"/>
        <v>0</v>
      </c>
    </row>
    <row r="444" spans="1:5" x14ac:dyDescent="0.15">
      <c r="A444" s="1" t="s">
        <v>290</v>
      </c>
      <c r="B444" s="126">
        <v>0</v>
      </c>
      <c r="C444" s="202">
        <f t="shared" si="65"/>
        <v>0</v>
      </c>
      <c r="D444" s="3">
        <f t="shared" si="63"/>
        <v>0</v>
      </c>
      <c r="E444" s="3">
        <f t="shared" si="64"/>
        <v>0</v>
      </c>
    </row>
    <row r="445" spans="1:5" x14ac:dyDescent="0.15">
      <c r="B445" s="126"/>
      <c r="C445" s="202"/>
      <c r="D445" s="3"/>
      <c r="E445" s="3"/>
    </row>
    <row r="446" spans="1:5" ht="12" thickBot="1" x14ac:dyDescent="0.2">
      <c r="A446" s="1" t="s">
        <v>165</v>
      </c>
      <c r="B446" s="138">
        <f>SUM(B442:B445)</f>
        <v>10480</v>
      </c>
      <c r="C446" s="203">
        <f>SUM(C442:C445)</f>
        <v>0</v>
      </c>
      <c r="D446" s="10">
        <f>SUM(D442:D445)</f>
        <v>0</v>
      </c>
      <c r="E446" s="10">
        <f>SUM(E442:E445)</f>
        <v>0</v>
      </c>
    </row>
    <row r="447" spans="1:5" ht="12" thickTop="1" x14ac:dyDescent="0.15">
      <c r="C447" s="202"/>
      <c r="D447" s="3"/>
      <c r="E447" s="3"/>
    </row>
    <row r="448" spans="1:5" x14ac:dyDescent="0.15">
      <c r="C448" s="202"/>
      <c r="D448" s="3"/>
      <c r="E448" s="3"/>
    </row>
    <row r="449" spans="1:5" x14ac:dyDescent="0.15">
      <c r="A449" s="1"/>
      <c r="B449" s="156"/>
      <c r="C449" s="206"/>
      <c r="D449" s="3"/>
      <c r="E449" s="3"/>
    </row>
    <row r="450" spans="1:5" x14ac:dyDescent="0.15">
      <c r="A450" s="1"/>
      <c r="B450" s="156" t="str">
        <f t="shared" ref="B450:D451" si="66">B8</f>
        <v>Budget</v>
      </c>
      <c r="C450" s="206" t="str">
        <f t="shared" si="66"/>
        <v>Budget</v>
      </c>
      <c r="D450" s="157" t="str">
        <f t="shared" si="66"/>
        <v>Budget</v>
      </c>
      <c r="E450" s="157" t="s">
        <v>245</v>
      </c>
    </row>
    <row r="451" spans="1:5" x14ac:dyDescent="0.15">
      <c r="B451" s="156" t="str">
        <f t="shared" si="66"/>
        <v>2015/2016</v>
      </c>
      <c r="C451" s="206" t="str">
        <f t="shared" si="66"/>
        <v>2016/2017</v>
      </c>
      <c r="D451" s="157" t="str">
        <f t="shared" si="66"/>
        <v>2017/2018</v>
      </c>
      <c r="E451" s="160" t="str">
        <f>E9</f>
        <v>2018/2019</v>
      </c>
    </row>
    <row r="452" spans="1:5" x14ac:dyDescent="0.15">
      <c r="A452" s="1"/>
      <c r="C452" s="202"/>
      <c r="D452" s="3"/>
      <c r="E452" s="3"/>
    </row>
    <row r="453" spans="1:5" ht="16" x14ac:dyDescent="0.2">
      <c r="A453" s="14" t="s">
        <v>171</v>
      </c>
      <c r="C453" s="202"/>
      <c r="D453" s="3"/>
      <c r="E453" s="3"/>
    </row>
    <row r="454" spans="1:5" x14ac:dyDescent="0.15">
      <c r="A454" s="1"/>
      <c r="C454" s="202"/>
      <c r="D454" s="3"/>
      <c r="E454" s="3"/>
    </row>
    <row r="455" spans="1:5" x14ac:dyDescent="0.15">
      <c r="A455" s="6" t="s">
        <v>246</v>
      </c>
      <c r="C455" s="202"/>
      <c r="D455" s="3"/>
      <c r="E455" s="3"/>
    </row>
    <row r="456" spans="1:5" x14ac:dyDescent="0.15">
      <c r="A456" s="1"/>
      <c r="C456" s="202"/>
      <c r="D456" s="3"/>
      <c r="E456" s="3"/>
    </row>
    <row r="457" spans="1:5" x14ac:dyDescent="0.15">
      <c r="A457" s="1" t="s">
        <v>197</v>
      </c>
      <c r="B457" s="126">
        <v>1260943</v>
      </c>
      <c r="C457" s="202">
        <f>REMUNERATION!F59</f>
        <v>1831117.7500000002</v>
      </c>
      <c r="D457" s="3">
        <f t="shared" ref="D457:D468" si="67">ROUND(+C457*(1+D$1),-2)</f>
        <v>1937300</v>
      </c>
      <c r="E457" s="3">
        <f t="shared" ref="E457:E468" si="68">ROUND(+D457*(1+E$1),-2)</f>
        <v>2049700</v>
      </c>
    </row>
    <row r="458" spans="1:5" x14ac:dyDescent="0.15">
      <c r="A458" s="1" t="s">
        <v>231</v>
      </c>
      <c r="B458" s="126">
        <v>105079</v>
      </c>
      <c r="C458" s="202">
        <f>REMUNERATION!N59</f>
        <v>152593.14583333337</v>
      </c>
      <c r="D458" s="3">
        <f t="shared" si="67"/>
        <v>161400</v>
      </c>
      <c r="E458" s="3">
        <f t="shared" si="68"/>
        <v>170800</v>
      </c>
    </row>
    <row r="459" spans="1:5" x14ac:dyDescent="0.15">
      <c r="A459" s="1" t="s">
        <v>193</v>
      </c>
      <c r="B459" s="126">
        <v>0</v>
      </c>
      <c r="C459" s="202">
        <v>0</v>
      </c>
      <c r="D459" s="3">
        <f t="shared" si="67"/>
        <v>0</v>
      </c>
      <c r="E459" s="3">
        <f t="shared" si="68"/>
        <v>0</v>
      </c>
    </row>
    <row r="460" spans="1:5" x14ac:dyDescent="0.15">
      <c r="A460" s="1" t="s">
        <v>198</v>
      </c>
      <c r="B460" s="126">
        <v>41160</v>
      </c>
      <c r="C460" s="202">
        <f>REMUNERATION!I59</f>
        <v>58800</v>
      </c>
      <c r="D460" s="3">
        <f t="shared" si="67"/>
        <v>62200</v>
      </c>
      <c r="E460" s="3">
        <f t="shared" si="68"/>
        <v>65800</v>
      </c>
    </row>
    <row r="461" spans="1:5" x14ac:dyDescent="0.15">
      <c r="A461" s="1" t="s">
        <v>199</v>
      </c>
      <c r="B461" s="126">
        <v>217534</v>
      </c>
      <c r="C461" s="202">
        <f>REMUNERATION!H59</f>
        <v>308326.92000000004</v>
      </c>
      <c r="D461" s="3">
        <f t="shared" si="67"/>
        <v>326200</v>
      </c>
      <c r="E461" s="3">
        <f t="shared" si="68"/>
        <v>345100</v>
      </c>
    </row>
    <row r="462" spans="1:5" x14ac:dyDescent="0.15">
      <c r="A462" s="1" t="s">
        <v>200</v>
      </c>
      <c r="B462" s="126">
        <v>10800</v>
      </c>
      <c r="C462" s="202">
        <f>REMUNERATION!E58</f>
        <v>10800</v>
      </c>
      <c r="D462" s="3">
        <f t="shared" si="67"/>
        <v>11400</v>
      </c>
      <c r="E462" s="3">
        <f t="shared" si="68"/>
        <v>12100</v>
      </c>
    </row>
    <row r="463" spans="1:5" x14ac:dyDescent="0.15">
      <c r="A463" s="1" t="s">
        <v>169</v>
      </c>
      <c r="B463" s="126">
        <v>277408</v>
      </c>
      <c r="C463" s="202">
        <f>REMUNERATION!G59</f>
        <v>402845.90500000014</v>
      </c>
      <c r="D463" s="3">
        <f t="shared" si="67"/>
        <v>426200</v>
      </c>
      <c r="E463" s="3">
        <f t="shared" si="68"/>
        <v>450900</v>
      </c>
    </row>
    <row r="464" spans="1:5" x14ac:dyDescent="0.15">
      <c r="A464" s="1" t="s">
        <v>201</v>
      </c>
      <c r="B464" s="126">
        <v>0</v>
      </c>
      <c r="C464" s="202">
        <v>0</v>
      </c>
      <c r="D464" s="3">
        <f t="shared" si="67"/>
        <v>0</v>
      </c>
      <c r="E464" s="3">
        <f t="shared" si="68"/>
        <v>0</v>
      </c>
    </row>
    <row r="465" spans="1:5" x14ac:dyDescent="0.15">
      <c r="A465" s="8" t="s">
        <v>4</v>
      </c>
      <c r="B465" s="126">
        <v>0</v>
      </c>
      <c r="C465" s="202">
        <v>0</v>
      </c>
      <c r="D465" s="3">
        <f t="shared" si="67"/>
        <v>0</v>
      </c>
      <c r="E465" s="3">
        <f t="shared" si="68"/>
        <v>0</v>
      </c>
    </row>
    <row r="466" spans="1:5" x14ac:dyDescent="0.15">
      <c r="A466" s="1" t="s">
        <v>202</v>
      </c>
      <c r="B466" s="126">
        <v>8000</v>
      </c>
      <c r="C466" s="202">
        <f>REMUNERATION!J59</f>
        <v>13482</v>
      </c>
      <c r="D466" s="3">
        <f t="shared" si="67"/>
        <v>14300</v>
      </c>
      <c r="E466" s="3">
        <f t="shared" si="68"/>
        <v>15100</v>
      </c>
    </row>
    <row r="467" spans="1:5" x14ac:dyDescent="0.15">
      <c r="A467" s="1" t="s">
        <v>203</v>
      </c>
      <c r="B467" s="126">
        <v>14072</v>
      </c>
      <c r="C467" s="202">
        <f>REMUNERATION!M59</f>
        <v>20425.108958333334</v>
      </c>
      <c r="D467" s="3">
        <f t="shared" si="67"/>
        <v>21600</v>
      </c>
      <c r="E467" s="3">
        <f t="shared" si="68"/>
        <v>22900</v>
      </c>
    </row>
    <row r="468" spans="1:5" x14ac:dyDescent="0.15">
      <c r="A468" s="1" t="s">
        <v>204</v>
      </c>
      <c r="B468" s="126">
        <v>250</v>
      </c>
      <c r="C468" s="202">
        <f>REMUNERATION!L59</f>
        <v>651</v>
      </c>
      <c r="D468" s="3">
        <f t="shared" si="67"/>
        <v>700</v>
      </c>
      <c r="E468" s="3">
        <f t="shared" si="68"/>
        <v>700</v>
      </c>
    </row>
    <row r="469" spans="1:5" x14ac:dyDescent="0.15">
      <c r="B469" s="126"/>
      <c r="C469" s="202"/>
      <c r="D469" s="3"/>
      <c r="E469" s="3"/>
    </row>
    <row r="470" spans="1:5" ht="12" thickBot="1" x14ac:dyDescent="0.2">
      <c r="A470" s="1" t="s">
        <v>247</v>
      </c>
      <c r="B470" s="138">
        <f>SUM(B457:B469)</f>
        <v>1935246</v>
      </c>
      <c r="C470" s="203">
        <f>SUM(C457:C469)</f>
        <v>2799041.8297916669</v>
      </c>
      <c r="D470" s="213">
        <f>SUM(D457:D469)</f>
        <v>2961300</v>
      </c>
      <c r="E470" s="213">
        <f>SUM(E457:E469)</f>
        <v>3133100</v>
      </c>
    </row>
    <row r="471" spans="1:5" ht="12" thickTop="1" x14ac:dyDescent="0.15">
      <c r="C471" s="202"/>
      <c r="D471" s="3"/>
      <c r="E471" s="3"/>
    </row>
    <row r="472" spans="1:5" x14ac:dyDescent="0.15">
      <c r="A472" s="48" t="s">
        <v>128</v>
      </c>
      <c r="C472" s="202"/>
      <c r="D472" s="3"/>
      <c r="E472" s="3"/>
    </row>
    <row r="473" spans="1:5" x14ac:dyDescent="0.15">
      <c r="A473" s="1"/>
      <c r="C473" s="202"/>
      <c r="D473" s="3"/>
      <c r="E473" s="3"/>
    </row>
    <row r="474" spans="1:5" x14ac:dyDescent="0.15">
      <c r="A474" s="1" t="s">
        <v>261</v>
      </c>
      <c r="B474" s="126">
        <v>3009168</v>
      </c>
      <c r="C474" s="202">
        <f t="shared" ref="C474:C479" si="69">B474+B474*0.07</f>
        <v>3219809.76</v>
      </c>
      <c r="D474" s="3">
        <f t="shared" ref="D474:D479" si="70">ROUND(+C474*(1+D$1),-2)</f>
        <v>3406600</v>
      </c>
      <c r="E474" s="3">
        <f t="shared" ref="E474:E479" si="71">ROUND(+D474*(1+E$1),-2)</f>
        <v>3604200</v>
      </c>
    </row>
    <row r="475" spans="1:5" x14ac:dyDescent="0.15">
      <c r="A475" s="1" t="s">
        <v>262</v>
      </c>
      <c r="B475" s="126">
        <v>1149277</v>
      </c>
      <c r="C475" s="202">
        <f t="shared" si="69"/>
        <v>1229726.3900000001</v>
      </c>
      <c r="D475" s="3">
        <f t="shared" si="70"/>
        <v>1301100</v>
      </c>
      <c r="E475" s="3">
        <f t="shared" si="71"/>
        <v>1376600</v>
      </c>
    </row>
    <row r="476" spans="1:5" x14ac:dyDescent="0.15">
      <c r="A476" s="1" t="s">
        <v>263</v>
      </c>
      <c r="B476" s="126">
        <v>121825</v>
      </c>
      <c r="C476" s="202">
        <f t="shared" si="69"/>
        <v>130352.75</v>
      </c>
      <c r="D476" s="3">
        <f t="shared" si="70"/>
        <v>137900</v>
      </c>
      <c r="E476" s="3">
        <f t="shared" si="71"/>
        <v>145900</v>
      </c>
    </row>
    <row r="477" spans="1:5" x14ac:dyDescent="0.15">
      <c r="A477" s="1" t="s">
        <v>133</v>
      </c>
      <c r="B477" s="126">
        <v>157332</v>
      </c>
      <c r="C477" s="202">
        <f t="shared" si="69"/>
        <v>168345.24</v>
      </c>
      <c r="D477" s="3">
        <f t="shared" si="70"/>
        <v>178100</v>
      </c>
      <c r="E477" s="3">
        <f t="shared" si="71"/>
        <v>188400</v>
      </c>
    </row>
    <row r="478" spans="1:5" x14ac:dyDescent="0.15">
      <c r="A478" s="1" t="s">
        <v>184</v>
      </c>
      <c r="B478" s="126">
        <v>71169</v>
      </c>
      <c r="C478" s="202">
        <f t="shared" si="69"/>
        <v>76150.83</v>
      </c>
      <c r="D478" s="3">
        <f t="shared" si="70"/>
        <v>80600</v>
      </c>
      <c r="E478" s="3">
        <f t="shared" si="71"/>
        <v>85300</v>
      </c>
    </row>
    <row r="479" spans="1:5" x14ac:dyDescent="0.15">
      <c r="A479" s="1" t="s">
        <v>189</v>
      </c>
      <c r="B479" s="126">
        <v>323347</v>
      </c>
      <c r="C479" s="202">
        <f t="shared" si="69"/>
        <v>345981.29</v>
      </c>
      <c r="D479" s="3">
        <f t="shared" si="70"/>
        <v>366000</v>
      </c>
      <c r="E479" s="3">
        <f t="shared" si="71"/>
        <v>387200</v>
      </c>
    </row>
    <row r="480" spans="1:5" ht="12" thickBot="1" x14ac:dyDescent="0.2">
      <c r="A480" s="1"/>
      <c r="B480" s="138">
        <f>SUM(B474:B479)</f>
        <v>4832118</v>
      </c>
      <c r="C480" s="203">
        <f>SUM(C474:C479)</f>
        <v>5170366.2600000007</v>
      </c>
      <c r="D480" s="5">
        <f>SUM(D474:D479)</f>
        <v>5470300</v>
      </c>
      <c r="E480" s="5">
        <f>SUM(E474:E479)</f>
        <v>5787600</v>
      </c>
    </row>
    <row r="481" spans="1:5" ht="12" thickTop="1" x14ac:dyDescent="0.15">
      <c r="A481" s="1"/>
      <c r="C481" s="202"/>
      <c r="D481" s="3"/>
      <c r="E481" s="3"/>
    </row>
    <row r="482" spans="1:5" x14ac:dyDescent="0.15">
      <c r="A482" s="6" t="s">
        <v>96</v>
      </c>
      <c r="C482" s="202"/>
      <c r="D482" s="3"/>
      <c r="E482" s="3"/>
    </row>
    <row r="483" spans="1:5" x14ac:dyDescent="0.15">
      <c r="A483" s="1"/>
      <c r="C483" s="202"/>
      <c r="D483" s="3"/>
      <c r="E483" s="3"/>
    </row>
    <row r="484" spans="1:5" x14ac:dyDescent="0.15">
      <c r="A484" s="1" t="s">
        <v>177</v>
      </c>
      <c r="B484" s="126">
        <v>10480</v>
      </c>
      <c r="C484" s="202">
        <f t="shared" ref="C484:C486" si="72">B484+B484*0.06</f>
        <v>11108.8</v>
      </c>
      <c r="D484" s="3">
        <f t="shared" ref="D484:D487" si="73">ROUND(+C484*(1+D$1),-2)</f>
        <v>11800</v>
      </c>
      <c r="E484" s="3">
        <f t="shared" ref="E484:E487" si="74">ROUND(+D484*(1+E$1),-2)</f>
        <v>12500</v>
      </c>
    </row>
    <row r="485" spans="1:5" x14ac:dyDescent="0.15">
      <c r="A485" s="1" t="s">
        <v>195</v>
      </c>
      <c r="B485" s="126">
        <v>22721</v>
      </c>
      <c r="C485" s="202">
        <f t="shared" si="72"/>
        <v>24084.26</v>
      </c>
      <c r="D485" s="3">
        <f t="shared" si="73"/>
        <v>25500</v>
      </c>
      <c r="E485" s="3">
        <f t="shared" si="74"/>
        <v>27000</v>
      </c>
    </row>
    <row r="486" spans="1:5" x14ac:dyDescent="0.15">
      <c r="A486" s="2" t="s">
        <v>303</v>
      </c>
      <c r="B486" s="126">
        <v>32593</v>
      </c>
      <c r="C486" s="202">
        <f t="shared" si="72"/>
        <v>34548.58</v>
      </c>
      <c r="D486" s="3">
        <f t="shared" si="73"/>
        <v>36600</v>
      </c>
      <c r="E486" s="3">
        <f t="shared" ref="E486" si="75">ROUND(+D486*(1+E$1),-2)</f>
        <v>38700</v>
      </c>
    </row>
    <row r="487" spans="1:5" x14ac:dyDescent="0.15">
      <c r="A487" s="1" t="s">
        <v>191</v>
      </c>
      <c r="B487" s="126">
        <v>116418</v>
      </c>
      <c r="C487" s="202">
        <v>260000</v>
      </c>
      <c r="D487" s="3">
        <f t="shared" si="73"/>
        <v>275100</v>
      </c>
      <c r="E487" s="3">
        <f t="shared" si="74"/>
        <v>291100</v>
      </c>
    </row>
    <row r="488" spans="1:5" ht="12" thickBot="1" x14ac:dyDescent="0.2">
      <c r="A488" s="1" t="s">
        <v>248</v>
      </c>
      <c r="B488" s="138">
        <f>SUM(B484:B487)</f>
        <v>182212</v>
      </c>
      <c r="C488" s="203">
        <f>SUM(C484:C487)</f>
        <v>329741.64</v>
      </c>
      <c r="D488" s="5">
        <f>SUM(D484:D487)</f>
        <v>349000</v>
      </c>
      <c r="E488" s="5">
        <f>SUM(E484:E487)</f>
        <v>369300</v>
      </c>
    </row>
    <row r="489" spans="1:5" ht="12" thickTop="1" x14ac:dyDescent="0.15">
      <c r="C489" s="202"/>
      <c r="D489" s="3"/>
      <c r="E489" s="3"/>
    </row>
    <row r="490" spans="1:5" x14ac:dyDescent="0.15">
      <c r="A490" s="6" t="s">
        <v>249</v>
      </c>
      <c r="C490" s="202"/>
      <c r="D490" s="3"/>
      <c r="E490" s="3"/>
    </row>
    <row r="491" spans="1:5" x14ac:dyDescent="0.15">
      <c r="A491" s="1"/>
      <c r="C491" s="202"/>
      <c r="D491" s="3"/>
      <c r="E491" s="3"/>
    </row>
    <row r="492" spans="1:5" x14ac:dyDescent="0.15">
      <c r="A492" s="1" t="s">
        <v>282</v>
      </c>
      <c r="C492" s="202">
        <f t="shared" ref="C492:C494" si="76">B492+B492*0.06</f>
        <v>0</v>
      </c>
      <c r="D492" s="3">
        <f>ROUND(+C492*(1+D$1),-2)</f>
        <v>0</v>
      </c>
      <c r="E492" s="3">
        <f t="shared" ref="E492:E494" si="77">ROUND(+D492*(1+E$1),-2)</f>
        <v>0</v>
      </c>
    </row>
    <row r="493" spans="1:5" x14ac:dyDescent="0.15">
      <c r="A493" s="1" t="s">
        <v>283</v>
      </c>
      <c r="C493" s="202">
        <f t="shared" si="76"/>
        <v>0</v>
      </c>
      <c r="D493" s="3">
        <f>ROUND(+C493*(1+D$1),-2)</f>
        <v>0</v>
      </c>
      <c r="E493" s="3">
        <f t="shared" si="77"/>
        <v>0</v>
      </c>
    </row>
    <row r="494" spans="1:5" x14ac:dyDescent="0.15">
      <c r="A494" s="1" t="s">
        <v>285</v>
      </c>
      <c r="C494" s="202">
        <f t="shared" si="76"/>
        <v>0</v>
      </c>
      <c r="D494" s="3">
        <f>ROUND(+C494*(1+D$1),-2)</f>
        <v>0</v>
      </c>
      <c r="E494" s="3">
        <f t="shared" si="77"/>
        <v>0</v>
      </c>
    </row>
    <row r="495" spans="1:5" x14ac:dyDescent="0.15">
      <c r="C495" s="202"/>
      <c r="D495" s="3"/>
      <c r="E495" s="3"/>
    </row>
    <row r="496" spans="1:5" ht="12" thickBot="1" x14ac:dyDescent="0.2">
      <c r="A496" s="1" t="s">
        <v>250</v>
      </c>
      <c r="B496" s="10">
        <f>SUM(B492:B495)</f>
        <v>0</v>
      </c>
      <c r="C496" s="203">
        <f>SUM(C492:C495)</f>
        <v>0</v>
      </c>
      <c r="D496" s="5">
        <f>SUM(D492:D495)</f>
        <v>0</v>
      </c>
      <c r="E496" s="5">
        <f>SUM(E492:E495)</f>
        <v>0</v>
      </c>
    </row>
    <row r="497" spans="1:5" ht="12" thickTop="1" x14ac:dyDescent="0.15">
      <c r="C497" s="202"/>
      <c r="D497" s="3"/>
      <c r="E497" s="3"/>
    </row>
    <row r="498" spans="1:5" x14ac:dyDescent="0.15">
      <c r="A498" s="6" t="s">
        <v>251</v>
      </c>
      <c r="C498" s="202"/>
      <c r="D498" s="3"/>
      <c r="E498" s="3"/>
    </row>
    <row r="499" spans="1:5" x14ac:dyDescent="0.15">
      <c r="A499" s="1"/>
      <c r="C499" s="202"/>
      <c r="D499" s="3"/>
      <c r="E499" s="3"/>
    </row>
    <row r="500" spans="1:5" ht="12" thickBot="1" x14ac:dyDescent="0.2">
      <c r="A500" s="1" t="s">
        <v>252</v>
      </c>
      <c r="B500" s="138">
        <f>B511</f>
        <v>0</v>
      </c>
      <c r="C500" s="203">
        <f>C511</f>
        <v>0</v>
      </c>
      <c r="D500" s="5">
        <f>D511</f>
        <v>0</v>
      </c>
      <c r="E500" s="5">
        <f>E511</f>
        <v>0</v>
      </c>
    </row>
    <row r="501" spans="1:5" ht="12" thickTop="1" x14ac:dyDescent="0.15">
      <c r="C501" s="202"/>
      <c r="D501" s="3"/>
      <c r="E501" s="3"/>
    </row>
    <row r="502" spans="1:5" x14ac:dyDescent="0.15">
      <c r="C502" s="202"/>
      <c r="D502" s="3"/>
      <c r="E502" s="3"/>
    </row>
    <row r="503" spans="1:5" ht="12" thickBot="1" x14ac:dyDescent="0.2">
      <c r="A503" s="1" t="s">
        <v>157</v>
      </c>
      <c r="B503" s="138">
        <f>B500+B496+B488+B470+B480</f>
        <v>6949576</v>
      </c>
      <c r="C503" s="203">
        <f>C500+C496+C488+C470+C480</f>
        <v>8299149.7297916673</v>
      </c>
      <c r="D503" s="10">
        <f>D500+D496+D488+D470+D480</f>
        <v>8780600</v>
      </c>
      <c r="E503" s="10">
        <f>E500+E496+E488+E470+E480</f>
        <v>9290000</v>
      </c>
    </row>
    <row r="504" spans="1:5" ht="12" thickTop="1" x14ac:dyDescent="0.15">
      <c r="C504" s="202"/>
      <c r="D504" s="3"/>
      <c r="E504" s="3"/>
    </row>
    <row r="505" spans="1:5" x14ac:dyDescent="0.15">
      <c r="A505" s="6" t="s">
        <v>251</v>
      </c>
      <c r="C505" s="202"/>
      <c r="D505" s="3"/>
      <c r="E505" s="3"/>
    </row>
    <row r="506" spans="1:5" x14ac:dyDescent="0.15">
      <c r="A506" s="1"/>
      <c r="C506" s="202"/>
      <c r="D506" s="3"/>
      <c r="E506" s="3"/>
    </row>
    <row r="507" spans="1:5" x14ac:dyDescent="0.15">
      <c r="A507" s="1" t="s">
        <v>288</v>
      </c>
      <c r="B507" s="126">
        <v>0</v>
      </c>
      <c r="C507" s="202">
        <f t="shared" ref="C507:C509" si="78">B507+B507*0.06</f>
        <v>0</v>
      </c>
      <c r="D507" s="3">
        <f>ROUND(+C507*(1+D$1),-2)</f>
        <v>0</v>
      </c>
      <c r="E507" s="3">
        <f t="shared" ref="E507:E509" si="79">ROUND(+D507*(1+E$1),-2)</f>
        <v>0</v>
      </c>
    </row>
    <row r="508" spans="1:5" x14ac:dyDescent="0.15">
      <c r="A508" s="1" t="s">
        <v>289</v>
      </c>
      <c r="C508" s="202">
        <f t="shared" si="78"/>
        <v>0</v>
      </c>
      <c r="D508" s="3">
        <f>ROUND(+C508*(1+D$1),-2)</f>
        <v>0</v>
      </c>
      <c r="E508" s="3">
        <f t="shared" si="79"/>
        <v>0</v>
      </c>
    </row>
    <row r="509" spans="1:5" x14ac:dyDescent="0.15">
      <c r="A509" s="1" t="s">
        <v>290</v>
      </c>
      <c r="C509" s="202">
        <f t="shared" si="78"/>
        <v>0</v>
      </c>
      <c r="D509" s="3">
        <f>ROUND(+C509*(1+D$1),-2)</f>
        <v>0</v>
      </c>
      <c r="E509" s="3">
        <f t="shared" si="79"/>
        <v>0</v>
      </c>
    </row>
    <row r="510" spans="1:5" x14ac:dyDescent="0.15">
      <c r="C510" s="202"/>
      <c r="D510" s="3"/>
      <c r="E510" s="3"/>
    </row>
    <row r="511" spans="1:5" ht="12" thickBot="1" x14ac:dyDescent="0.2">
      <c r="A511" s="1" t="s">
        <v>165</v>
      </c>
      <c r="B511" s="10">
        <f>SUM(B507:B509)</f>
        <v>0</v>
      </c>
      <c r="C511" s="203">
        <f>SUM(C507:C509)</f>
        <v>0</v>
      </c>
      <c r="D511" s="5">
        <f>SUM(D507:D509)</f>
        <v>0</v>
      </c>
      <c r="E511" s="5">
        <f>SUM(E507:E509)</f>
        <v>0</v>
      </c>
    </row>
    <row r="512" spans="1:5" ht="12" thickTop="1" x14ac:dyDescent="0.15">
      <c r="A512" s="1"/>
      <c r="C512" s="202"/>
      <c r="D512" s="3"/>
      <c r="E512" s="3"/>
    </row>
    <row r="513" spans="1:5" x14ac:dyDescent="0.15">
      <c r="A513" s="1"/>
      <c r="B513" s="156"/>
      <c r="C513" s="206"/>
      <c r="D513" s="3"/>
      <c r="E513" s="3"/>
    </row>
    <row r="514" spans="1:5" x14ac:dyDescent="0.15">
      <c r="A514" s="1"/>
      <c r="B514" s="156" t="str">
        <f t="shared" ref="B514:D515" si="80">B8</f>
        <v>Budget</v>
      </c>
      <c r="C514" s="206" t="str">
        <f t="shared" si="80"/>
        <v>Budget</v>
      </c>
      <c r="D514" s="157" t="str">
        <f t="shared" si="80"/>
        <v>Budget</v>
      </c>
      <c r="E514" s="157" t="s">
        <v>245</v>
      </c>
    </row>
    <row r="515" spans="1:5" x14ac:dyDescent="0.15">
      <c r="B515" s="156" t="str">
        <f t="shared" si="80"/>
        <v>2015/2016</v>
      </c>
      <c r="C515" s="206" t="str">
        <f t="shared" si="80"/>
        <v>2016/2017</v>
      </c>
      <c r="D515" s="157" t="str">
        <f t="shared" si="80"/>
        <v>2017/2018</v>
      </c>
      <c r="E515" s="160" t="str">
        <f>E9</f>
        <v>2018/2019</v>
      </c>
    </row>
    <row r="516" spans="1:5" x14ac:dyDescent="0.15">
      <c r="A516" s="1"/>
      <c r="C516" s="202"/>
      <c r="D516" s="3"/>
      <c r="E516" s="3"/>
    </row>
    <row r="517" spans="1:5" ht="16" x14ac:dyDescent="0.2">
      <c r="A517" s="14" t="s">
        <v>130</v>
      </c>
      <c r="C517" s="202"/>
      <c r="D517" s="3"/>
      <c r="E517" s="3"/>
    </row>
    <row r="518" spans="1:5" x14ac:dyDescent="0.15">
      <c r="A518" s="1"/>
      <c r="C518" s="202"/>
      <c r="D518" s="3"/>
      <c r="E518" s="3"/>
    </row>
    <row r="519" spans="1:5" x14ac:dyDescent="0.15">
      <c r="A519" s="6" t="s">
        <v>246</v>
      </c>
      <c r="C519" s="202"/>
      <c r="D519" s="3"/>
      <c r="E519" s="3"/>
    </row>
    <row r="520" spans="1:5" x14ac:dyDescent="0.15">
      <c r="A520" s="1"/>
      <c r="C520" s="202"/>
      <c r="D520" s="3"/>
      <c r="E520" s="3"/>
    </row>
    <row r="521" spans="1:5" x14ac:dyDescent="0.15">
      <c r="A521" s="1" t="s">
        <v>197</v>
      </c>
      <c r="B521" s="126">
        <v>9224357</v>
      </c>
      <c r="C521" s="202">
        <f>REMUNERATION!F99</f>
        <v>10590580.730000002</v>
      </c>
      <c r="D521" s="3">
        <f>ROUND(+C521*(1+D$1),-2)</f>
        <v>11204800</v>
      </c>
      <c r="E521" s="3">
        <f t="shared" ref="E521:E534" si="81">ROUND(+D521*(1+E$1),-2)</f>
        <v>11854700</v>
      </c>
    </row>
    <row r="522" spans="1:5" x14ac:dyDescent="0.15">
      <c r="A522" s="1" t="s">
        <v>231</v>
      </c>
      <c r="B522" s="126">
        <v>768696</v>
      </c>
      <c r="C522" s="202">
        <f>REMUNERATION!N99</f>
        <v>818799.39916666679</v>
      </c>
      <c r="D522" s="3">
        <f t="shared" ref="D522:D534" si="82">ROUND(+C522*(1+D$1),-2)</f>
        <v>866300</v>
      </c>
      <c r="E522" s="3">
        <f t="shared" si="81"/>
        <v>916500</v>
      </c>
    </row>
    <row r="523" spans="1:5" x14ac:dyDescent="0.15">
      <c r="A523" s="1" t="s">
        <v>193</v>
      </c>
      <c r="B523" s="126">
        <v>150000</v>
      </c>
      <c r="C523" s="202">
        <f>REMUNERATION!E97</f>
        <v>150000</v>
      </c>
      <c r="D523" s="3">
        <f t="shared" si="82"/>
        <v>158700</v>
      </c>
      <c r="E523" s="3">
        <f t="shared" si="81"/>
        <v>167900</v>
      </c>
    </row>
    <row r="524" spans="1:5" x14ac:dyDescent="0.15">
      <c r="A524" s="1" t="s">
        <v>198</v>
      </c>
      <c r="B524" s="126">
        <v>197568</v>
      </c>
      <c r="C524" s="202">
        <f>REMUNERATION!I99</f>
        <v>193200</v>
      </c>
      <c r="D524" s="3">
        <f t="shared" si="82"/>
        <v>204400</v>
      </c>
      <c r="E524" s="3">
        <f t="shared" si="81"/>
        <v>216300</v>
      </c>
    </row>
    <row r="525" spans="1:5" x14ac:dyDescent="0.15">
      <c r="A525" s="1" t="s">
        <v>199</v>
      </c>
      <c r="B525" s="126">
        <v>1044161</v>
      </c>
      <c r="C525" s="202">
        <f>REMUNERATION!H99</f>
        <v>1056886.08</v>
      </c>
      <c r="D525" s="3">
        <f t="shared" si="82"/>
        <v>1118200</v>
      </c>
      <c r="E525" s="3">
        <f t="shared" si="81"/>
        <v>1183100</v>
      </c>
    </row>
    <row r="526" spans="1:5" x14ac:dyDescent="0.15">
      <c r="A526" s="1" t="s">
        <v>200</v>
      </c>
      <c r="B526" s="126">
        <v>54000</v>
      </c>
      <c r="C526" s="202">
        <f>REMUNERATION!E98</f>
        <v>50192</v>
      </c>
      <c r="D526" s="3">
        <f t="shared" si="82"/>
        <v>53100</v>
      </c>
      <c r="E526" s="3">
        <f t="shared" si="81"/>
        <v>56200</v>
      </c>
    </row>
    <row r="527" spans="1:5" x14ac:dyDescent="0.15">
      <c r="A527" s="1" t="s">
        <v>313</v>
      </c>
      <c r="B527" s="126">
        <v>0</v>
      </c>
      <c r="C527" s="202">
        <v>2808</v>
      </c>
      <c r="D527" s="3">
        <f t="shared" si="82"/>
        <v>3000</v>
      </c>
      <c r="E527" s="3">
        <f t="shared" ref="E527:E529" si="83">ROUND(+D527*(1+E$1),-2)</f>
        <v>3200</v>
      </c>
    </row>
    <row r="528" spans="1:5" x14ac:dyDescent="0.15">
      <c r="A528" s="1" t="s">
        <v>4</v>
      </c>
      <c r="B528" s="126">
        <v>0</v>
      </c>
      <c r="C528" s="202">
        <v>0</v>
      </c>
      <c r="D528" s="3">
        <f t="shared" si="82"/>
        <v>0</v>
      </c>
      <c r="E528" s="3">
        <f t="shared" si="83"/>
        <v>0</v>
      </c>
    </row>
    <row r="529" spans="1:5" x14ac:dyDescent="0.15">
      <c r="A529" s="1" t="s">
        <v>373</v>
      </c>
      <c r="B529" s="126">
        <v>0</v>
      </c>
      <c r="C529" s="202">
        <v>0</v>
      </c>
      <c r="D529" s="3">
        <f t="shared" si="82"/>
        <v>0</v>
      </c>
      <c r="E529" s="3">
        <f t="shared" si="83"/>
        <v>0</v>
      </c>
    </row>
    <row r="530" spans="1:5" x14ac:dyDescent="0.15">
      <c r="A530" s="1" t="s">
        <v>169</v>
      </c>
      <c r="B530" s="126">
        <v>2029358</v>
      </c>
      <c r="C530" s="202">
        <f>REMUNERATION!G99</f>
        <v>2170564.4138000002</v>
      </c>
      <c r="D530" s="3">
        <f t="shared" si="82"/>
        <v>2296500</v>
      </c>
      <c r="E530" s="3">
        <f t="shared" si="81"/>
        <v>2429700</v>
      </c>
    </row>
    <row r="531" spans="1:5" x14ac:dyDescent="0.15">
      <c r="A531" s="1" t="s">
        <v>201</v>
      </c>
      <c r="B531" s="126">
        <v>1951248</v>
      </c>
      <c r="C531" s="202">
        <f>REMUNERATION!K99</f>
        <v>2183520</v>
      </c>
      <c r="D531" s="3">
        <f t="shared" si="82"/>
        <v>2310200</v>
      </c>
      <c r="E531" s="3">
        <f t="shared" si="81"/>
        <v>2444200</v>
      </c>
    </row>
    <row r="532" spans="1:5" x14ac:dyDescent="0.15">
      <c r="A532" s="1" t="s">
        <v>202</v>
      </c>
      <c r="B532" s="126">
        <v>38400</v>
      </c>
      <c r="C532" s="202">
        <f>REMUNERATION!J99</f>
        <v>46224</v>
      </c>
      <c r="D532" s="3">
        <f t="shared" si="82"/>
        <v>48900</v>
      </c>
      <c r="E532" s="3">
        <f t="shared" si="81"/>
        <v>51700</v>
      </c>
    </row>
    <row r="533" spans="1:5" x14ac:dyDescent="0.15">
      <c r="A533" s="1" t="s">
        <v>203</v>
      </c>
      <c r="B533" s="126">
        <v>121419</v>
      </c>
      <c r="C533" s="202">
        <f>REMUNERATION!M99</f>
        <v>130211.12189166671</v>
      </c>
      <c r="D533" s="3">
        <f t="shared" si="82"/>
        <v>137800</v>
      </c>
      <c r="E533" s="3">
        <f t="shared" si="81"/>
        <v>145800</v>
      </c>
    </row>
    <row r="534" spans="1:5" x14ac:dyDescent="0.15">
      <c r="A534" s="1" t="s">
        <v>204</v>
      </c>
      <c r="B534" s="126">
        <v>1200</v>
      </c>
      <c r="C534" s="202">
        <v>2200</v>
      </c>
      <c r="D534" s="3">
        <f t="shared" si="82"/>
        <v>2300</v>
      </c>
      <c r="E534" s="3">
        <f t="shared" si="81"/>
        <v>2400</v>
      </c>
    </row>
    <row r="535" spans="1:5" x14ac:dyDescent="0.15">
      <c r="C535" s="202"/>
      <c r="D535" s="3"/>
      <c r="E535" s="3"/>
    </row>
    <row r="536" spans="1:5" ht="12" thickBot="1" x14ac:dyDescent="0.2">
      <c r="A536" s="1" t="s">
        <v>247</v>
      </c>
      <c r="B536" s="138">
        <f>SUM(B521:B535)</f>
        <v>15580407</v>
      </c>
      <c r="C536" s="203">
        <f>SUM(C521:C535)</f>
        <v>17395185.744858336</v>
      </c>
      <c r="D536" s="5">
        <f>SUM(D521:D535)</f>
        <v>18404200</v>
      </c>
      <c r="E536" s="5">
        <f>SUM(E521:E535)</f>
        <v>19471700</v>
      </c>
    </row>
    <row r="537" spans="1:5" ht="12" thickTop="1" x14ac:dyDescent="0.15">
      <c r="C537" s="202"/>
      <c r="D537" s="3"/>
      <c r="E537" s="3"/>
    </row>
    <row r="538" spans="1:5" x14ac:dyDescent="0.15">
      <c r="A538" s="6" t="s">
        <v>241</v>
      </c>
      <c r="C538" s="202"/>
      <c r="D538" s="3"/>
      <c r="E538" s="3"/>
    </row>
    <row r="539" spans="1:5" x14ac:dyDescent="0.15">
      <c r="A539" s="1"/>
      <c r="C539" s="202"/>
      <c r="D539" s="3"/>
      <c r="E539" s="3"/>
    </row>
    <row r="540" spans="1:5" x14ac:dyDescent="0.15">
      <c r="A540" s="2" t="s">
        <v>530</v>
      </c>
      <c r="B540" s="126">
        <v>2500000</v>
      </c>
      <c r="C540" s="202">
        <v>0</v>
      </c>
      <c r="D540" s="3">
        <f t="shared" ref="D540:D556" si="84">ROUND(+C540*(1+D$1),-2)</f>
        <v>0</v>
      </c>
      <c r="E540" s="3">
        <v>3157900</v>
      </c>
    </row>
    <row r="541" spans="1:5" x14ac:dyDescent="0.15">
      <c r="A541" s="1" t="s">
        <v>174</v>
      </c>
      <c r="B541" s="126">
        <v>91429</v>
      </c>
      <c r="C541" s="202">
        <f t="shared" ref="C541" si="85">B541+B541*0.06</f>
        <v>96914.74</v>
      </c>
      <c r="D541" s="3">
        <f t="shared" si="84"/>
        <v>102500</v>
      </c>
      <c r="E541" s="3">
        <f t="shared" ref="E541:E542" si="86">ROUND(+D541*(1+E$1),-2)</f>
        <v>108400</v>
      </c>
    </row>
    <row r="542" spans="1:5" x14ac:dyDescent="0.15">
      <c r="A542" s="1" t="s">
        <v>131</v>
      </c>
      <c r="B542" s="126">
        <v>402090</v>
      </c>
      <c r="C542" s="202">
        <v>300000</v>
      </c>
      <c r="D542" s="3">
        <f t="shared" si="84"/>
        <v>317400</v>
      </c>
      <c r="E542" s="3">
        <f t="shared" si="86"/>
        <v>335800</v>
      </c>
    </row>
    <row r="543" spans="1:5" x14ac:dyDescent="0.15">
      <c r="A543" s="1" t="s">
        <v>177</v>
      </c>
      <c r="B543" s="126">
        <v>10480</v>
      </c>
      <c r="C543" s="202">
        <v>0</v>
      </c>
      <c r="D543" s="3">
        <f t="shared" si="84"/>
        <v>0</v>
      </c>
      <c r="E543" s="3">
        <f t="shared" ref="E543:E556" si="87">ROUND(+D543*(1+E$1),-2)</f>
        <v>0</v>
      </c>
    </row>
    <row r="544" spans="1:5" x14ac:dyDescent="0.15">
      <c r="A544" s="1" t="s">
        <v>175</v>
      </c>
      <c r="B544" s="126">
        <v>1850000</v>
      </c>
      <c r="C544" s="202">
        <v>2600000</v>
      </c>
      <c r="D544" s="3">
        <f t="shared" si="84"/>
        <v>2750800</v>
      </c>
      <c r="E544" s="3">
        <f t="shared" si="87"/>
        <v>2910300</v>
      </c>
    </row>
    <row r="545" spans="1:5" x14ac:dyDescent="0.15">
      <c r="A545" s="2" t="s">
        <v>304</v>
      </c>
      <c r="B545" s="126">
        <v>32061245</v>
      </c>
      <c r="C545" s="202">
        <v>21395905</v>
      </c>
      <c r="D545" s="3">
        <v>21495905</v>
      </c>
      <c r="E545" s="3">
        <v>21495905</v>
      </c>
    </row>
    <row r="546" spans="1:5" x14ac:dyDescent="0.15">
      <c r="A546" s="1" t="s">
        <v>422</v>
      </c>
      <c r="B546" s="126">
        <v>250000</v>
      </c>
      <c r="C546" s="202">
        <v>0</v>
      </c>
      <c r="D546" s="3">
        <f t="shared" si="84"/>
        <v>0</v>
      </c>
      <c r="E546" s="3">
        <f t="shared" si="87"/>
        <v>0</v>
      </c>
    </row>
    <row r="547" spans="1:5" x14ac:dyDescent="0.15">
      <c r="A547" s="1" t="s">
        <v>205</v>
      </c>
      <c r="B547" s="126">
        <v>0</v>
      </c>
      <c r="C547" s="202">
        <f t="shared" ref="C547:C548" si="88">B547+B547*0.06</f>
        <v>0</v>
      </c>
      <c r="D547" s="3">
        <f t="shared" si="84"/>
        <v>0</v>
      </c>
      <c r="E547" s="3">
        <f t="shared" si="87"/>
        <v>0</v>
      </c>
    </row>
    <row r="548" spans="1:5" x14ac:dyDescent="0.15">
      <c r="A548" s="1" t="s">
        <v>194</v>
      </c>
      <c r="B548" s="126">
        <v>0</v>
      </c>
      <c r="C548" s="202">
        <f t="shared" si="88"/>
        <v>0</v>
      </c>
      <c r="D548" s="3">
        <f t="shared" si="84"/>
        <v>0</v>
      </c>
      <c r="E548" s="3">
        <f t="shared" si="87"/>
        <v>0</v>
      </c>
    </row>
    <row r="549" spans="1:5" x14ac:dyDescent="0.15">
      <c r="A549" s="9" t="s">
        <v>438</v>
      </c>
      <c r="B549" s="126">
        <v>500000</v>
      </c>
      <c r="C549" s="202">
        <v>300000</v>
      </c>
      <c r="D549" s="3">
        <f t="shared" si="84"/>
        <v>317400</v>
      </c>
      <c r="E549" s="3">
        <f t="shared" si="87"/>
        <v>335800</v>
      </c>
    </row>
    <row r="550" spans="1:5" x14ac:dyDescent="0.15">
      <c r="A550" s="1" t="s">
        <v>6</v>
      </c>
      <c r="B550" s="126">
        <v>954078</v>
      </c>
      <c r="C550" s="202">
        <v>0</v>
      </c>
      <c r="D550" s="3">
        <f t="shared" si="84"/>
        <v>0</v>
      </c>
      <c r="E550" s="3">
        <f t="shared" si="87"/>
        <v>0</v>
      </c>
    </row>
    <row r="551" spans="1:5" x14ac:dyDescent="0.15">
      <c r="A551" s="1" t="s">
        <v>187</v>
      </c>
      <c r="B551" s="126">
        <v>563</v>
      </c>
      <c r="C551" s="202"/>
      <c r="D551" s="3">
        <f t="shared" si="84"/>
        <v>0</v>
      </c>
      <c r="E551" s="3">
        <f t="shared" si="87"/>
        <v>0</v>
      </c>
    </row>
    <row r="552" spans="1:5" x14ac:dyDescent="0.15">
      <c r="A552" s="1" t="s">
        <v>195</v>
      </c>
      <c r="B552" s="126">
        <v>278621</v>
      </c>
      <c r="C552" s="202">
        <f t="shared" ref="C552:C555" si="89">B552+B552*0.06</f>
        <v>295338.26</v>
      </c>
      <c r="D552" s="3">
        <f t="shared" si="84"/>
        <v>312500</v>
      </c>
      <c r="E552" s="3">
        <f t="shared" si="87"/>
        <v>330600</v>
      </c>
    </row>
    <row r="553" spans="1:5" x14ac:dyDescent="0.15">
      <c r="A553" s="1" t="s">
        <v>315</v>
      </c>
      <c r="B553" s="126">
        <v>1205200</v>
      </c>
      <c r="C553" s="202">
        <v>1200000</v>
      </c>
      <c r="D553" s="3">
        <f t="shared" si="84"/>
        <v>1269600</v>
      </c>
      <c r="E553" s="3">
        <f t="shared" si="87"/>
        <v>1343200</v>
      </c>
    </row>
    <row r="554" spans="1:5" x14ac:dyDescent="0.15">
      <c r="A554" s="1" t="s">
        <v>190</v>
      </c>
      <c r="B554" s="126">
        <v>0</v>
      </c>
      <c r="C554" s="202">
        <f t="shared" si="89"/>
        <v>0</v>
      </c>
      <c r="D554" s="3">
        <f t="shared" si="84"/>
        <v>0</v>
      </c>
      <c r="E554" s="3">
        <f t="shared" si="87"/>
        <v>0</v>
      </c>
    </row>
    <row r="555" spans="1:5" x14ac:dyDescent="0.15">
      <c r="A555" s="2" t="s">
        <v>303</v>
      </c>
      <c r="B555" s="126">
        <v>0</v>
      </c>
      <c r="C555" s="202">
        <f t="shared" si="89"/>
        <v>0</v>
      </c>
      <c r="D555" s="3">
        <f t="shared" si="84"/>
        <v>0</v>
      </c>
      <c r="E555" s="3">
        <f t="shared" si="87"/>
        <v>0</v>
      </c>
    </row>
    <row r="556" spans="1:5" x14ac:dyDescent="0.15">
      <c r="A556" s="1" t="s">
        <v>191</v>
      </c>
      <c r="B556" s="126">
        <v>503040</v>
      </c>
      <c r="C556" s="202">
        <v>500000</v>
      </c>
      <c r="D556" s="3">
        <f t="shared" si="84"/>
        <v>529000</v>
      </c>
      <c r="E556" s="3">
        <f t="shared" si="87"/>
        <v>559700</v>
      </c>
    </row>
    <row r="557" spans="1:5" ht="12" thickBot="1" x14ac:dyDescent="0.2">
      <c r="A557" s="1" t="s">
        <v>248</v>
      </c>
      <c r="B557" s="138">
        <f>SUM(B540:B556)</f>
        <v>40606746</v>
      </c>
      <c r="C557" s="203">
        <f>SUM(C540:C556)</f>
        <v>26688158.000000004</v>
      </c>
      <c r="D557" s="5">
        <f>SUM(D540:D556)</f>
        <v>27095105</v>
      </c>
      <c r="E557" s="5">
        <f>SUM(E540:E556)</f>
        <v>30577605</v>
      </c>
    </row>
    <row r="558" spans="1:5" ht="12" thickTop="1" x14ac:dyDescent="0.15">
      <c r="C558" s="202"/>
      <c r="D558" s="3"/>
      <c r="E558" s="3"/>
    </row>
    <row r="559" spans="1:5" x14ac:dyDescent="0.15">
      <c r="A559" s="6" t="s">
        <v>249</v>
      </c>
      <c r="C559" s="202"/>
      <c r="D559" s="3"/>
      <c r="E559" s="3"/>
    </row>
    <row r="560" spans="1:5" x14ac:dyDescent="0.15">
      <c r="A560" s="1"/>
      <c r="C560" s="202"/>
      <c r="D560" s="3"/>
      <c r="E560" s="3"/>
    </row>
    <row r="561" spans="1:5" x14ac:dyDescent="0.15">
      <c r="A561" s="1" t="s">
        <v>282</v>
      </c>
      <c r="B561" s="126">
        <v>0</v>
      </c>
      <c r="C561" s="202">
        <v>11109</v>
      </c>
      <c r="D561" s="3">
        <f t="shared" ref="D561:D563" si="90">ROUND(+C561*(1+D$1),-2)</f>
        <v>11800</v>
      </c>
      <c r="E561" s="3">
        <f t="shared" ref="E561:E563" si="91">ROUND(+D561*(1+E$1),-2)</f>
        <v>12500</v>
      </c>
    </row>
    <row r="562" spans="1:5" x14ac:dyDescent="0.15">
      <c r="A562" s="1" t="s">
        <v>283</v>
      </c>
      <c r="B562" s="126">
        <v>13606</v>
      </c>
      <c r="C562" s="202">
        <v>82727</v>
      </c>
      <c r="D562" s="3">
        <f t="shared" si="90"/>
        <v>87500</v>
      </c>
      <c r="E562" s="3">
        <f t="shared" si="91"/>
        <v>92600</v>
      </c>
    </row>
    <row r="563" spans="1:5" x14ac:dyDescent="0.15">
      <c r="A563" s="1" t="s">
        <v>285</v>
      </c>
      <c r="B563" s="126">
        <v>83840</v>
      </c>
      <c r="C563" s="202">
        <f t="shared" ref="C563" si="92">B563+B563*0.06</f>
        <v>88870.399999999994</v>
      </c>
      <c r="D563" s="3">
        <f t="shared" si="90"/>
        <v>94000</v>
      </c>
      <c r="E563" s="3">
        <f t="shared" si="91"/>
        <v>99500</v>
      </c>
    </row>
    <row r="564" spans="1:5" x14ac:dyDescent="0.15">
      <c r="B564" s="126"/>
      <c r="C564" s="202"/>
      <c r="D564" s="3"/>
      <c r="E564" s="3"/>
    </row>
    <row r="565" spans="1:5" ht="12" thickBot="1" x14ac:dyDescent="0.2">
      <c r="A565" s="1" t="s">
        <v>250</v>
      </c>
      <c r="B565" s="138">
        <f>SUM(B561:B563)</f>
        <v>97446</v>
      </c>
      <c r="C565" s="203">
        <f>SUM(C561:C563)</f>
        <v>182706.4</v>
      </c>
      <c r="D565" s="5">
        <f>SUM(D561:D563)</f>
        <v>193300</v>
      </c>
      <c r="E565" s="5">
        <f>SUM(E561:E563)</f>
        <v>204600</v>
      </c>
    </row>
    <row r="566" spans="1:5" ht="12" thickTop="1" x14ac:dyDescent="0.15">
      <c r="C566" s="202"/>
      <c r="D566" s="3"/>
      <c r="E566" s="3"/>
    </row>
    <row r="567" spans="1:5" x14ac:dyDescent="0.15">
      <c r="A567" s="6" t="s">
        <v>251</v>
      </c>
      <c r="C567" s="202"/>
      <c r="D567" s="3"/>
      <c r="E567" s="3"/>
    </row>
    <row r="568" spans="1:5" x14ac:dyDescent="0.15">
      <c r="A568" s="1"/>
      <c r="C568" s="202"/>
      <c r="D568" s="3"/>
      <c r="E568" s="3"/>
    </row>
    <row r="569" spans="1:5" x14ac:dyDescent="0.15">
      <c r="C569" s="202"/>
      <c r="D569" s="3"/>
      <c r="E569" s="3"/>
    </row>
    <row r="570" spans="1:5" ht="12" thickBot="1" x14ac:dyDescent="0.2">
      <c r="A570" s="1" t="s">
        <v>252</v>
      </c>
      <c r="B570" s="10">
        <f>B648</f>
        <v>44521</v>
      </c>
      <c r="C570" s="203">
        <f>C648</f>
        <v>0</v>
      </c>
      <c r="D570" s="5">
        <f>D648</f>
        <v>0</v>
      </c>
      <c r="E570" s="5">
        <f>E648</f>
        <v>0</v>
      </c>
    </row>
    <row r="571" spans="1:5" ht="12" thickTop="1" x14ac:dyDescent="0.15">
      <c r="C571" s="202"/>
      <c r="D571" s="3"/>
      <c r="E571" s="3"/>
    </row>
    <row r="572" spans="1:5" x14ac:dyDescent="0.15">
      <c r="A572" s="6" t="s">
        <v>253</v>
      </c>
      <c r="C572" s="202"/>
      <c r="D572" s="3"/>
      <c r="E572" s="3"/>
    </row>
    <row r="573" spans="1:5" x14ac:dyDescent="0.15">
      <c r="A573" s="1"/>
      <c r="C573" s="202"/>
      <c r="D573" s="3"/>
      <c r="E573" s="3"/>
    </row>
    <row r="574" spans="1:5" x14ac:dyDescent="0.15">
      <c r="A574" s="1" t="s">
        <v>286</v>
      </c>
      <c r="B574" s="126">
        <v>3145933</v>
      </c>
      <c r="C574" s="202">
        <v>2500000</v>
      </c>
      <c r="D574" s="3">
        <v>2800000</v>
      </c>
      <c r="E574" s="3">
        <f t="shared" ref="E574:E575" si="93">ROUND(+D574*(1+E$1),-2)</f>
        <v>2962400</v>
      </c>
    </row>
    <row r="575" spans="1:5" x14ac:dyDescent="0.15">
      <c r="A575" s="1" t="s">
        <v>287</v>
      </c>
      <c r="B575" s="126">
        <v>0</v>
      </c>
      <c r="C575" s="202"/>
      <c r="D575" s="3">
        <v>0</v>
      </c>
      <c r="E575" s="3">
        <f t="shared" si="93"/>
        <v>0</v>
      </c>
    </row>
    <row r="576" spans="1:5" x14ac:dyDescent="0.15">
      <c r="A576" s="1" t="s">
        <v>375</v>
      </c>
      <c r="B576" s="126">
        <v>12500000</v>
      </c>
      <c r="C576" s="248">
        <v>10595487</v>
      </c>
      <c r="D576" s="3">
        <v>10000000</v>
      </c>
      <c r="E576" s="3">
        <v>10000000</v>
      </c>
    </row>
    <row r="577" spans="1:5" x14ac:dyDescent="0.15">
      <c r="A577" s="1" t="s">
        <v>376</v>
      </c>
      <c r="B577" s="126">
        <v>800000</v>
      </c>
      <c r="C577" s="202">
        <v>2000000</v>
      </c>
      <c r="D577" s="3">
        <v>2120000</v>
      </c>
      <c r="E577" s="3">
        <f t="shared" ref="E577" si="94">ROUND(+D577*(1+E$1),-2)</f>
        <v>2243000</v>
      </c>
    </row>
    <row r="578" spans="1:5" x14ac:dyDescent="0.15">
      <c r="B578" s="126"/>
      <c r="C578" s="202"/>
      <c r="D578" s="3"/>
      <c r="E578" s="3"/>
    </row>
    <row r="579" spans="1:5" ht="12" thickBot="1" x14ac:dyDescent="0.2">
      <c r="A579" s="1" t="s">
        <v>153</v>
      </c>
      <c r="B579" s="138">
        <f>SUM(B574:B578)</f>
        <v>16445933</v>
      </c>
      <c r="C579" s="203">
        <f>SUM(C574:C578)</f>
        <v>15095487</v>
      </c>
      <c r="D579" s="5">
        <f>SUM(D574:D578)</f>
        <v>14920000</v>
      </c>
      <c r="E579" s="5">
        <f>SUM(E574:E578)</f>
        <v>15205400</v>
      </c>
    </row>
    <row r="580" spans="1:5" ht="12" thickTop="1" x14ac:dyDescent="0.15">
      <c r="C580" s="202"/>
      <c r="D580" s="3"/>
      <c r="E580" s="3"/>
    </row>
    <row r="581" spans="1:5" x14ac:dyDescent="0.15">
      <c r="A581" s="1"/>
      <c r="C581" s="202"/>
      <c r="D581" s="3"/>
      <c r="E581" s="3"/>
    </row>
    <row r="582" spans="1:5" x14ac:dyDescent="0.15">
      <c r="C582" s="202"/>
      <c r="D582" s="3"/>
      <c r="E582" s="3"/>
    </row>
    <row r="583" spans="1:5" ht="12" thickBot="1" x14ac:dyDescent="0.2">
      <c r="A583" s="1" t="s">
        <v>157</v>
      </c>
      <c r="B583" s="138">
        <f>B579+B570+B565+B557+B536</f>
        <v>72775053</v>
      </c>
      <c r="C583" s="203">
        <f>C579+C570+C565+C557+C536</f>
        <v>59361537.144858345</v>
      </c>
      <c r="D583" s="5">
        <f>D579+D570+D565+D557+D536</f>
        <v>60612605</v>
      </c>
      <c r="E583" s="5">
        <f>E579+E570+E565+E557+E536</f>
        <v>65459305</v>
      </c>
    </row>
    <row r="584" spans="1:5" ht="12" thickTop="1" x14ac:dyDescent="0.15">
      <c r="A584" s="6" t="s">
        <v>158</v>
      </c>
      <c r="C584" s="202"/>
      <c r="D584" s="3"/>
      <c r="E584" s="3"/>
    </row>
    <row r="585" spans="1:5" x14ac:dyDescent="0.15">
      <c r="A585" s="1"/>
      <c r="C585" s="202"/>
      <c r="D585" s="3"/>
      <c r="E585" s="3"/>
    </row>
    <row r="586" spans="1:5" x14ac:dyDescent="0.15">
      <c r="A586" s="6" t="s">
        <v>113</v>
      </c>
      <c r="C586" s="208"/>
      <c r="D586" s="3"/>
      <c r="E586" s="3"/>
    </row>
    <row r="587" spans="1:5" x14ac:dyDescent="0.15">
      <c r="A587" s="1"/>
      <c r="C587" s="202"/>
      <c r="D587" s="3"/>
      <c r="E587" s="3"/>
    </row>
    <row r="588" spans="1:5" x14ac:dyDescent="0.15">
      <c r="A588" s="1"/>
      <c r="B588" s="126">
        <v>0</v>
      </c>
      <c r="C588" s="202">
        <v>0</v>
      </c>
      <c r="D588" s="3">
        <f>C588*1.1</f>
        <v>0</v>
      </c>
      <c r="E588" s="3">
        <f>D588*1.1</f>
        <v>0</v>
      </c>
    </row>
    <row r="589" spans="1:5" x14ac:dyDescent="0.15">
      <c r="A589" s="1" t="s">
        <v>340</v>
      </c>
      <c r="B589" s="126">
        <v>-262880</v>
      </c>
      <c r="C589" s="202">
        <v>-262880</v>
      </c>
      <c r="D589" s="3">
        <v>-276815</v>
      </c>
      <c r="E589" s="3">
        <f>ROUND(+D589*(1+E$1),-2)</f>
        <v>-292900</v>
      </c>
    </row>
    <row r="590" spans="1:5" x14ac:dyDescent="0.15">
      <c r="A590" s="1" t="s">
        <v>486</v>
      </c>
      <c r="B590" s="126">
        <v>-22400</v>
      </c>
      <c r="C590" s="202">
        <v>-25000</v>
      </c>
      <c r="D590" s="3">
        <f>ROUND(+C590*(1+D$1),-2)</f>
        <v>-26500</v>
      </c>
      <c r="E590" s="3">
        <f t="shared" ref="E590" si="95">ROUND(+D590*(1+E$1),-2)</f>
        <v>-28000</v>
      </c>
    </row>
    <row r="591" spans="1:5" x14ac:dyDescent="0.15">
      <c r="A591" s="1" t="s">
        <v>341</v>
      </c>
      <c r="B591" s="126">
        <v>-80900</v>
      </c>
      <c r="C591" s="202">
        <v>-100000</v>
      </c>
      <c r="D591" s="3">
        <f>ROUND(+C591*(1+D$1),-2)</f>
        <v>-105800</v>
      </c>
      <c r="E591" s="3">
        <f>ROUND(+D591*(1+E$1),-2)</f>
        <v>-111900</v>
      </c>
    </row>
    <row r="592" spans="1:5" x14ac:dyDescent="0.15">
      <c r="B592" s="126"/>
      <c r="C592" s="202"/>
      <c r="D592" s="3"/>
      <c r="E592" s="3"/>
    </row>
    <row r="593" spans="1:5" ht="12" thickBot="1" x14ac:dyDescent="0.2">
      <c r="A593" s="1" t="s">
        <v>114</v>
      </c>
      <c r="B593" s="138">
        <f>SUM(B588:B592)</f>
        <v>-366180</v>
      </c>
      <c r="C593" s="203">
        <f>SUM(C588:C592)</f>
        <v>-387880</v>
      </c>
      <c r="D593" s="5">
        <f>SUM(D588:D592)</f>
        <v>-409115</v>
      </c>
      <c r="E593" s="5">
        <f>SUM(E588:E592)</f>
        <v>-432800</v>
      </c>
    </row>
    <row r="594" spans="1:5" ht="12" thickTop="1" x14ac:dyDescent="0.15">
      <c r="A594" s="1"/>
      <c r="B594" s="12"/>
      <c r="C594" s="204"/>
      <c r="D594" s="4"/>
      <c r="E594" s="4"/>
    </row>
    <row r="595" spans="1:5" x14ac:dyDescent="0.15">
      <c r="A595" s="6" t="s">
        <v>13</v>
      </c>
      <c r="B595" s="12"/>
      <c r="C595" s="204"/>
      <c r="D595" s="4"/>
      <c r="E595" s="4"/>
    </row>
    <row r="596" spans="1:5" x14ac:dyDescent="0.15">
      <c r="A596" s="6"/>
      <c r="B596" s="12"/>
      <c r="C596" s="204"/>
      <c r="D596" s="4"/>
      <c r="E596" s="4"/>
    </row>
    <row r="597" spans="1:5" x14ac:dyDescent="0.15">
      <c r="A597" s="1" t="s">
        <v>116</v>
      </c>
      <c r="B597" s="186">
        <v>-66103000</v>
      </c>
      <c r="C597" s="204">
        <v>-66055000</v>
      </c>
      <c r="D597" s="4">
        <v>-70945000</v>
      </c>
      <c r="E597" s="4">
        <v>-75413000</v>
      </c>
    </row>
    <row r="598" spans="1:5" x14ac:dyDescent="0.15">
      <c r="A598" s="1" t="s">
        <v>115</v>
      </c>
      <c r="B598" s="186">
        <v>-151338000</v>
      </c>
      <c r="C598" s="204">
        <v>-155605000</v>
      </c>
      <c r="D598" s="4">
        <v>-159687000</v>
      </c>
      <c r="E598" s="4">
        <v>-164557000</v>
      </c>
    </row>
    <row r="599" spans="1:5" x14ac:dyDescent="0.15">
      <c r="A599" s="1" t="s">
        <v>14</v>
      </c>
      <c r="B599" s="186">
        <v>-1500000</v>
      </c>
      <c r="C599" s="204">
        <v>-1500000</v>
      </c>
      <c r="D599" s="4">
        <v>-1500000</v>
      </c>
      <c r="E599" s="4">
        <v>-1250000</v>
      </c>
    </row>
    <row r="600" spans="1:5" x14ac:dyDescent="0.15">
      <c r="A600" s="1" t="s">
        <v>15</v>
      </c>
      <c r="B600" s="186">
        <v>-940000</v>
      </c>
      <c r="C600" s="204">
        <v>-1041000</v>
      </c>
      <c r="D600" s="4">
        <v>-1637000</v>
      </c>
      <c r="E600" s="4">
        <v>0</v>
      </c>
    </row>
    <row r="601" spans="1:5" ht="13" x14ac:dyDescent="0.15">
      <c r="A601" s="175" t="s">
        <v>338</v>
      </c>
      <c r="B601" s="126">
        <v>-1908000</v>
      </c>
      <c r="C601" s="204">
        <v>-2274000</v>
      </c>
      <c r="D601" s="4"/>
      <c r="E601" s="4"/>
    </row>
    <row r="602" spans="1:5" ht="12" thickBot="1" x14ac:dyDescent="0.2">
      <c r="A602" s="1"/>
      <c r="B602" s="138">
        <f>SUM(B597:B601)</f>
        <v>-221789000</v>
      </c>
      <c r="C602" s="203">
        <f>SUM(C597:C601)</f>
        <v>-226475000</v>
      </c>
      <c r="D602" s="10">
        <f>SUM(D597:D600)</f>
        <v>-233769000</v>
      </c>
      <c r="E602" s="10">
        <f>SUM(E597:E600)</f>
        <v>-241220000</v>
      </c>
    </row>
    <row r="603" spans="1:5" ht="12" thickTop="1" x14ac:dyDescent="0.15">
      <c r="A603" s="1"/>
      <c r="B603" s="12"/>
      <c r="C603" s="204"/>
      <c r="D603" s="12"/>
      <c r="E603" s="12"/>
    </row>
    <row r="604" spans="1:5" x14ac:dyDescent="0.15">
      <c r="A604" s="6" t="s">
        <v>117</v>
      </c>
      <c r="B604" s="12"/>
      <c r="C604" s="204"/>
      <c r="D604" s="12"/>
      <c r="E604" s="12"/>
    </row>
    <row r="605" spans="1:5" x14ac:dyDescent="0.15">
      <c r="A605" s="6"/>
      <c r="B605" s="12"/>
      <c r="C605" s="204"/>
      <c r="D605" s="12"/>
      <c r="E605" s="12"/>
    </row>
    <row r="606" spans="1:5" x14ac:dyDescent="0.15">
      <c r="A606" s="1" t="s">
        <v>118</v>
      </c>
      <c r="B606" s="186">
        <v>0</v>
      </c>
      <c r="C606" s="204">
        <v>0</v>
      </c>
      <c r="D606" s="12">
        <v>0</v>
      </c>
      <c r="E606" s="12">
        <v>0</v>
      </c>
    </row>
    <row r="607" spans="1:5" x14ac:dyDescent="0.15">
      <c r="A607" s="1"/>
      <c r="B607" s="12"/>
      <c r="C607" s="204"/>
      <c r="D607" s="12"/>
      <c r="E607" s="12"/>
    </row>
    <row r="608" spans="1:5" ht="12" thickBot="1" x14ac:dyDescent="0.2">
      <c r="A608" s="1" t="s">
        <v>119</v>
      </c>
      <c r="B608" s="10">
        <f>SUM(B606:B607)</f>
        <v>0</v>
      </c>
      <c r="C608" s="203">
        <f>SUM(C606:C607)</f>
        <v>0</v>
      </c>
      <c r="D608" s="10">
        <f>SUM(D606:D607)</f>
        <v>0</v>
      </c>
      <c r="E608" s="10">
        <f>SUM(E606:E607)</f>
        <v>0</v>
      </c>
    </row>
    <row r="609" spans="1:5" ht="12" thickTop="1" x14ac:dyDescent="0.15">
      <c r="C609" s="202"/>
      <c r="D609" s="3"/>
      <c r="E609" s="3"/>
    </row>
    <row r="610" spans="1:5" x14ac:dyDescent="0.15">
      <c r="A610" s="6" t="s">
        <v>159</v>
      </c>
      <c r="C610" s="202"/>
      <c r="D610" s="3"/>
      <c r="E610" s="3"/>
    </row>
    <row r="611" spans="1:5" x14ac:dyDescent="0.15">
      <c r="A611" s="1"/>
      <c r="C611" s="202"/>
      <c r="D611" s="3"/>
      <c r="E611" s="3"/>
    </row>
    <row r="612" spans="1:5" x14ac:dyDescent="0.15">
      <c r="A612" s="1" t="s">
        <v>168</v>
      </c>
      <c r="B612" s="126">
        <v>0</v>
      </c>
      <c r="C612" s="202">
        <v>0</v>
      </c>
      <c r="D612" s="3">
        <f>ROUND(+C612*(1+D$1),-2)</f>
        <v>0</v>
      </c>
      <c r="E612" s="3">
        <f>ROUND(+D612*(1+E$1),-2)</f>
        <v>0</v>
      </c>
    </row>
    <row r="613" spans="1:5" x14ac:dyDescent="0.15">
      <c r="A613" s="9" t="s">
        <v>355</v>
      </c>
      <c r="B613" s="126">
        <v>-3200000</v>
      </c>
      <c r="C613" s="202">
        <v>-6590000</v>
      </c>
      <c r="D613" s="3">
        <v>-3806800</v>
      </c>
      <c r="E613" s="3">
        <v>-4027500</v>
      </c>
    </row>
    <row r="614" spans="1:5" ht="12" thickBot="1" x14ac:dyDescent="0.2">
      <c r="A614" s="1" t="s">
        <v>160</v>
      </c>
      <c r="B614" s="138">
        <f>SUM(B612:B613)</f>
        <v>-3200000</v>
      </c>
      <c r="C614" s="203">
        <f>SUM(C612:C613)</f>
        <v>-6590000</v>
      </c>
      <c r="D614" s="5">
        <f>SUM(D612:D613)</f>
        <v>-3806800</v>
      </c>
      <c r="E614" s="5">
        <f>SUM(E612:E613)</f>
        <v>-4027500</v>
      </c>
    </row>
    <row r="615" spans="1:5" ht="12" thickTop="1" x14ac:dyDescent="0.15">
      <c r="C615" s="202"/>
      <c r="D615" s="3"/>
      <c r="E615" s="3"/>
    </row>
    <row r="616" spans="1:5" x14ac:dyDescent="0.15">
      <c r="A616" s="6" t="s">
        <v>264</v>
      </c>
      <c r="C616" s="202"/>
      <c r="D616" s="3"/>
      <c r="E616" s="3"/>
    </row>
    <row r="617" spans="1:5" x14ac:dyDescent="0.15">
      <c r="A617" s="1"/>
      <c r="C617" s="202"/>
      <c r="D617" s="3"/>
      <c r="E617" s="3"/>
    </row>
    <row r="618" spans="1:5" x14ac:dyDescent="0.15">
      <c r="A618" s="1" t="s">
        <v>161</v>
      </c>
      <c r="B618" s="126">
        <v>-1200000</v>
      </c>
      <c r="C618" s="202">
        <v>-800000</v>
      </c>
      <c r="D618" s="3">
        <v>-93300</v>
      </c>
      <c r="E618" s="3">
        <v>-93300</v>
      </c>
    </row>
    <row r="619" spans="1:5" x14ac:dyDescent="0.15">
      <c r="A619" s="1" t="s">
        <v>440</v>
      </c>
      <c r="B619" s="126">
        <v>-1500000</v>
      </c>
      <c r="C619" s="202">
        <v>0</v>
      </c>
      <c r="D619" s="3">
        <v>0</v>
      </c>
      <c r="E619" s="3">
        <v>0</v>
      </c>
    </row>
    <row r="620" spans="1:5" x14ac:dyDescent="0.15">
      <c r="A620" s="1" t="s">
        <v>487</v>
      </c>
      <c r="B620" s="126"/>
      <c r="C620" s="202">
        <v>-50000</v>
      </c>
      <c r="D620" s="3">
        <v>0</v>
      </c>
      <c r="E620" s="3">
        <v>0</v>
      </c>
    </row>
    <row r="621" spans="1:5" x14ac:dyDescent="0.15">
      <c r="A621" s="1" t="s">
        <v>374</v>
      </c>
      <c r="B621" s="126"/>
      <c r="C621" s="202">
        <v>0</v>
      </c>
      <c r="D621" s="3">
        <v>0</v>
      </c>
      <c r="E621" s="3">
        <v>0</v>
      </c>
    </row>
    <row r="622" spans="1:5" x14ac:dyDescent="0.15">
      <c r="A622" s="1" t="s">
        <v>458</v>
      </c>
      <c r="B622" s="126">
        <v>-130000</v>
      </c>
      <c r="C622" s="202">
        <v>-130000</v>
      </c>
      <c r="D622" s="3"/>
      <c r="E622" s="3"/>
    </row>
    <row r="623" spans="1:5" x14ac:dyDescent="0.15">
      <c r="A623" s="1" t="s">
        <v>488</v>
      </c>
      <c r="B623" s="126"/>
      <c r="C623" s="202"/>
      <c r="D623" s="3"/>
      <c r="E623" s="3"/>
    </row>
    <row r="624" spans="1:5" x14ac:dyDescent="0.15">
      <c r="A624" s="1" t="s">
        <v>436</v>
      </c>
      <c r="B624" s="126"/>
      <c r="C624" s="202"/>
      <c r="D624" s="3">
        <f>ROUND(+C624*(1+D$1),-2)</f>
        <v>0</v>
      </c>
      <c r="E624" s="3">
        <f>ROUND(+D624*(1+E$1),-2)</f>
        <v>0</v>
      </c>
    </row>
    <row r="625" spans="1:6" x14ac:dyDescent="0.15">
      <c r="A625" s="9" t="s">
        <v>356</v>
      </c>
      <c r="B625" s="126"/>
      <c r="C625" s="202"/>
      <c r="D625" s="3"/>
      <c r="E625" s="3"/>
    </row>
    <row r="626" spans="1:6" ht="12" thickBot="1" x14ac:dyDescent="0.2">
      <c r="A626" s="1" t="s">
        <v>162</v>
      </c>
      <c r="B626" s="138">
        <f>SUM(B618:B625)</f>
        <v>-2830000</v>
      </c>
      <c r="C626" s="203">
        <f>SUM(C618:C625)</f>
        <v>-980000</v>
      </c>
      <c r="D626" s="5">
        <f>SUM(D618:D625)</f>
        <v>-93300</v>
      </c>
      <c r="E626" s="5">
        <f>SUM(E618:E625)</f>
        <v>-93300</v>
      </c>
    </row>
    <row r="627" spans="1:6" ht="12" thickTop="1" x14ac:dyDescent="0.15">
      <c r="C627" s="202"/>
      <c r="D627" s="3"/>
      <c r="E627" s="3"/>
    </row>
    <row r="628" spans="1:6" ht="12" thickBot="1" x14ac:dyDescent="0.2">
      <c r="A628" s="1" t="s">
        <v>163</v>
      </c>
      <c r="B628" s="138">
        <f>B626+B614+B593+B602+B606+B640</f>
        <v>-258578180</v>
      </c>
      <c r="C628" s="203">
        <f>C626+C614+C593+C602+C606+C640</f>
        <v>-236390880</v>
      </c>
      <c r="D628" s="138">
        <f>D626+D614+D593+D602+D606+D640</f>
        <v>-240134215</v>
      </c>
      <c r="E628" s="138">
        <f>E626+E614+E593+E602+E606+E640</f>
        <v>-247970600</v>
      </c>
    </row>
    <row r="629" spans="1:6" ht="12" thickTop="1" x14ac:dyDescent="0.15">
      <c r="C629" s="202"/>
      <c r="D629" s="3"/>
      <c r="E629" s="3"/>
    </row>
    <row r="630" spans="1:6" ht="12" thickBot="1" x14ac:dyDescent="0.2">
      <c r="A630" s="1" t="s">
        <v>164</v>
      </c>
      <c r="B630" s="138">
        <f>B628+B583</f>
        <v>-185803127</v>
      </c>
      <c r="C630" s="203">
        <f>C628+C583</f>
        <v>-177029342.85514164</v>
      </c>
      <c r="D630" s="138">
        <f>D628+D583</f>
        <v>-179521610</v>
      </c>
      <c r="E630" s="138">
        <f>E628+E583</f>
        <v>-182511295</v>
      </c>
    </row>
    <row r="631" spans="1:6" ht="12" thickTop="1" x14ac:dyDescent="0.15">
      <c r="A631" s="1"/>
      <c r="B631" s="12"/>
      <c r="C631" s="204"/>
      <c r="D631" s="4"/>
      <c r="E631" s="4"/>
    </row>
    <row r="632" spans="1:6" x14ac:dyDescent="0.15">
      <c r="A632" s="48" t="s">
        <v>437</v>
      </c>
      <c r="C632" s="202"/>
      <c r="D632" s="3"/>
      <c r="E632" s="3"/>
    </row>
    <row r="633" spans="1:6" x14ac:dyDescent="0.15">
      <c r="A633" s="48"/>
      <c r="C633" s="202"/>
      <c r="D633" s="3"/>
      <c r="E633" s="3"/>
    </row>
    <row r="634" spans="1:6" ht="13" x14ac:dyDescent="0.15">
      <c r="A634" s="175" t="s">
        <v>338</v>
      </c>
      <c r="B634" s="126">
        <v>0</v>
      </c>
      <c r="C634" s="202">
        <v>0</v>
      </c>
      <c r="D634" s="3"/>
      <c r="E634" s="3"/>
    </row>
    <row r="635" spans="1:6" ht="13" x14ac:dyDescent="0.15">
      <c r="A635" s="150" t="s">
        <v>318</v>
      </c>
      <c r="B635" s="126">
        <v>0</v>
      </c>
      <c r="C635" s="202">
        <v>0</v>
      </c>
      <c r="D635" s="3">
        <v>0</v>
      </c>
      <c r="E635" s="3">
        <v>0</v>
      </c>
    </row>
    <row r="636" spans="1:6" ht="13" x14ac:dyDescent="0.15">
      <c r="A636" s="150" t="s">
        <v>462</v>
      </c>
      <c r="B636" s="126">
        <v>-1893000</v>
      </c>
      <c r="C636" s="202">
        <v>-1958000</v>
      </c>
      <c r="D636" s="3">
        <v>-2056000</v>
      </c>
      <c r="E636" s="3">
        <v>-2197000</v>
      </c>
    </row>
    <row r="637" spans="1:6" s="215" customFormat="1" ht="13" x14ac:dyDescent="0.15">
      <c r="A637" s="150" t="s">
        <v>572</v>
      </c>
      <c r="B637" s="126">
        <v>-28500000</v>
      </c>
      <c r="C637" s="202">
        <v>0</v>
      </c>
      <c r="D637" s="3">
        <v>0</v>
      </c>
      <c r="E637" s="3">
        <v>0</v>
      </c>
      <c r="F637" s="214"/>
    </row>
    <row r="638" spans="1:6" ht="13" x14ac:dyDescent="0.15">
      <c r="A638" s="150" t="s">
        <v>463</v>
      </c>
      <c r="B638" s="126">
        <v>0</v>
      </c>
      <c r="C638" s="202">
        <v>0</v>
      </c>
      <c r="D638" s="3"/>
      <c r="E638" s="3"/>
    </row>
    <row r="639" spans="1:6" ht="13" x14ac:dyDescent="0.15">
      <c r="A639" s="150" t="s">
        <v>558</v>
      </c>
      <c r="B639" s="126">
        <v>0</v>
      </c>
      <c r="C639" s="202">
        <v>0</v>
      </c>
      <c r="D639" s="3">
        <v>0</v>
      </c>
      <c r="E639" s="3">
        <v>0</v>
      </c>
    </row>
    <row r="640" spans="1:6" ht="12" thickBot="1" x14ac:dyDescent="0.2">
      <c r="B640" s="138">
        <f>SUM(B634:B639)</f>
        <v>-30393000</v>
      </c>
      <c r="C640" s="203">
        <f>SUM(C634:C639)</f>
        <v>-1958000</v>
      </c>
      <c r="D640" s="138">
        <f t="shared" ref="D640:E640" si="96">SUM(D635:D639)</f>
        <v>-2056000</v>
      </c>
      <c r="E640" s="138">
        <f t="shared" si="96"/>
        <v>-2197000</v>
      </c>
    </row>
    <row r="641" spans="1:5" ht="12" thickTop="1" x14ac:dyDescent="0.15">
      <c r="B641" s="12"/>
      <c r="C641" s="204"/>
      <c r="D641" s="4"/>
      <c r="E641" s="4"/>
    </row>
    <row r="642" spans="1:5" x14ac:dyDescent="0.15">
      <c r="A642" s="6" t="s">
        <v>251</v>
      </c>
      <c r="B642" s="12"/>
      <c r="C642" s="204"/>
      <c r="D642" s="4"/>
      <c r="E642" s="4"/>
    </row>
    <row r="643" spans="1:5" x14ac:dyDescent="0.15">
      <c r="A643" s="1"/>
      <c r="C643" s="202"/>
      <c r="D643" s="3"/>
      <c r="E643" s="3"/>
    </row>
    <row r="644" spans="1:5" x14ac:dyDescent="0.15">
      <c r="A644" s="1" t="s">
        <v>288</v>
      </c>
      <c r="B644" s="126">
        <v>44521</v>
      </c>
      <c r="C644" s="202">
        <v>0</v>
      </c>
      <c r="D644" s="3">
        <v>0</v>
      </c>
      <c r="E644" s="3">
        <v>0</v>
      </c>
    </row>
    <row r="645" spans="1:5" x14ac:dyDescent="0.15">
      <c r="A645" s="1" t="s">
        <v>289</v>
      </c>
      <c r="B645" s="126">
        <v>0</v>
      </c>
      <c r="C645" s="202">
        <f t="shared" ref="C645:C646" si="97">B645+B645*0.06</f>
        <v>0</v>
      </c>
      <c r="D645" s="3">
        <f>ROUND(+C645*(1+D$1),-2)</f>
        <v>0</v>
      </c>
      <c r="E645" s="3">
        <f t="shared" ref="E645:E646" si="98">ROUND(+D645*(1+E$1),-2)</f>
        <v>0</v>
      </c>
    </row>
    <row r="646" spans="1:5" x14ac:dyDescent="0.15">
      <c r="A646" s="1" t="s">
        <v>290</v>
      </c>
      <c r="C646" s="202">
        <f t="shared" si="97"/>
        <v>0</v>
      </c>
      <c r="D646" s="3">
        <f>ROUND(+C646*(1+D$1),-2)</f>
        <v>0</v>
      </c>
      <c r="E646" s="3">
        <f t="shared" si="98"/>
        <v>0</v>
      </c>
    </row>
    <row r="647" spans="1:5" x14ac:dyDescent="0.15">
      <c r="C647" s="202"/>
      <c r="D647" s="3"/>
      <c r="E647" s="3"/>
    </row>
    <row r="648" spans="1:5" ht="12" thickBot="1" x14ac:dyDescent="0.2">
      <c r="A648" s="1" t="s">
        <v>165</v>
      </c>
      <c r="B648" s="10">
        <f>SUM(B644:B647)</f>
        <v>44521</v>
      </c>
      <c r="C648" s="203">
        <f>SUM(C644:C647)</f>
        <v>0</v>
      </c>
      <c r="D648" s="5">
        <f>SUM(D644:D647)</f>
        <v>0</v>
      </c>
      <c r="E648" s="5">
        <f>SUM(E644:E647)</f>
        <v>0</v>
      </c>
    </row>
    <row r="649" spans="1:5" ht="12" thickTop="1" x14ac:dyDescent="0.15">
      <c r="C649" s="202"/>
      <c r="D649" s="3"/>
      <c r="E649" s="3"/>
    </row>
    <row r="650" spans="1:5" x14ac:dyDescent="0.15">
      <c r="B650" s="156"/>
      <c r="C650" s="206"/>
      <c r="D650" s="3"/>
      <c r="E650" s="3"/>
    </row>
    <row r="651" spans="1:5" x14ac:dyDescent="0.15">
      <c r="A651" s="1"/>
      <c r="B651" s="156" t="str">
        <f t="shared" ref="B651:D652" si="99">B8</f>
        <v>Budget</v>
      </c>
      <c r="C651" s="206" t="str">
        <f t="shared" si="99"/>
        <v>Budget</v>
      </c>
      <c r="D651" s="157" t="str">
        <f t="shared" si="99"/>
        <v>Budget</v>
      </c>
      <c r="E651" s="157" t="s">
        <v>245</v>
      </c>
    </row>
    <row r="652" spans="1:5" x14ac:dyDescent="0.15">
      <c r="B652" s="156" t="str">
        <f t="shared" si="99"/>
        <v>2015/2016</v>
      </c>
      <c r="C652" s="206" t="str">
        <f t="shared" si="99"/>
        <v>2016/2017</v>
      </c>
      <c r="D652" s="157" t="str">
        <f t="shared" si="99"/>
        <v>2017/2018</v>
      </c>
      <c r="E652" s="160" t="str">
        <f>E9</f>
        <v>2018/2019</v>
      </c>
    </row>
    <row r="653" spans="1:5" x14ac:dyDescent="0.15">
      <c r="A653" s="1"/>
      <c r="C653" s="202"/>
      <c r="D653" s="3"/>
      <c r="E653" s="3"/>
    </row>
    <row r="654" spans="1:5" ht="16" x14ac:dyDescent="0.2">
      <c r="A654" s="14" t="s">
        <v>21</v>
      </c>
      <c r="C654" s="202"/>
      <c r="D654" s="3"/>
      <c r="E654" s="3"/>
    </row>
    <row r="655" spans="1:5" x14ac:dyDescent="0.15">
      <c r="A655" s="1"/>
      <c r="C655" s="202"/>
      <c r="D655" s="3"/>
      <c r="E655" s="3"/>
    </row>
    <row r="656" spans="1:5" x14ac:dyDescent="0.15">
      <c r="A656" s="6" t="s">
        <v>246</v>
      </c>
      <c r="C656" s="202"/>
      <c r="D656" s="3"/>
      <c r="E656" s="3"/>
    </row>
    <row r="657" spans="1:5" x14ac:dyDescent="0.15">
      <c r="A657" s="1"/>
      <c r="C657" s="202"/>
      <c r="D657" s="3"/>
      <c r="E657" s="3"/>
    </row>
    <row r="658" spans="1:5" x14ac:dyDescent="0.15">
      <c r="A658" s="1" t="s">
        <v>197</v>
      </c>
      <c r="B658" s="126">
        <v>7601070</v>
      </c>
      <c r="C658" s="202">
        <f>REMUNERATION!F135</f>
        <v>7657973.9499999993</v>
      </c>
      <c r="D658" s="3">
        <f t="shared" ref="D658:D669" si="100">ROUND(+C658*(1+D$1),-2)</f>
        <v>8102100</v>
      </c>
      <c r="E658" s="3">
        <f t="shared" ref="E658:E669" si="101">ROUND(+D658*(1+E$1),-2)</f>
        <v>8572000</v>
      </c>
    </row>
    <row r="659" spans="1:5" x14ac:dyDescent="0.15">
      <c r="A659" s="1" t="s">
        <v>231</v>
      </c>
      <c r="B659" s="126">
        <v>679394</v>
      </c>
      <c r="C659" s="202">
        <f>REMUNERATION!N135</f>
        <v>673814.89493333374</v>
      </c>
      <c r="D659" s="3">
        <f t="shared" si="100"/>
        <v>712900</v>
      </c>
      <c r="E659" s="3">
        <f t="shared" si="101"/>
        <v>754200</v>
      </c>
    </row>
    <row r="660" spans="1:5" x14ac:dyDescent="0.15">
      <c r="A660" s="1" t="s">
        <v>193</v>
      </c>
      <c r="B660" s="126">
        <v>80000</v>
      </c>
      <c r="C660" s="202">
        <f>REMUNERATION!E133</f>
        <v>80000</v>
      </c>
      <c r="D660" s="3">
        <f t="shared" si="100"/>
        <v>84600</v>
      </c>
      <c r="E660" s="3">
        <f t="shared" si="101"/>
        <v>89500</v>
      </c>
    </row>
    <row r="661" spans="1:5" x14ac:dyDescent="0.15">
      <c r="A661" s="1" t="s">
        <v>198</v>
      </c>
      <c r="B661" s="126">
        <v>197568</v>
      </c>
      <c r="C661" s="202">
        <f>REMUNERATION!I135</f>
        <v>201600</v>
      </c>
      <c r="D661" s="3">
        <f t="shared" si="100"/>
        <v>213300</v>
      </c>
      <c r="E661" s="3">
        <f t="shared" si="101"/>
        <v>225700</v>
      </c>
    </row>
    <row r="662" spans="1:5" x14ac:dyDescent="0.15">
      <c r="A662" s="1" t="s">
        <v>199</v>
      </c>
      <c r="B662" s="126">
        <v>1131175</v>
      </c>
      <c r="C662" s="202">
        <f>REMUNERATION!H135</f>
        <v>1161621.96</v>
      </c>
      <c r="D662" s="3">
        <f t="shared" si="100"/>
        <v>1229000</v>
      </c>
      <c r="E662" s="3">
        <f t="shared" si="101"/>
        <v>1300300</v>
      </c>
    </row>
    <row r="663" spans="1:5" x14ac:dyDescent="0.15">
      <c r="A663" s="1" t="s">
        <v>200</v>
      </c>
      <c r="B663" s="126">
        <v>157200</v>
      </c>
      <c r="C663" s="202">
        <f>REMUNERATION!E134</f>
        <v>157200</v>
      </c>
      <c r="D663" s="3">
        <f t="shared" si="100"/>
        <v>166300</v>
      </c>
      <c r="E663" s="3">
        <f t="shared" si="101"/>
        <v>175900</v>
      </c>
    </row>
    <row r="664" spans="1:5" x14ac:dyDescent="0.15">
      <c r="A664" s="1" t="s">
        <v>169</v>
      </c>
      <c r="B664" s="126">
        <v>1549934</v>
      </c>
      <c r="C664" s="202">
        <f>REMUNERATION!G135</f>
        <v>1602524.7172000003</v>
      </c>
      <c r="D664" s="3">
        <f t="shared" si="100"/>
        <v>1695500</v>
      </c>
      <c r="E664" s="3">
        <f t="shared" si="101"/>
        <v>1793800</v>
      </c>
    </row>
    <row r="665" spans="1:5" x14ac:dyDescent="0.15">
      <c r="A665" s="1" t="s">
        <v>4</v>
      </c>
      <c r="B665" s="126">
        <v>0</v>
      </c>
      <c r="C665" s="202">
        <v>0</v>
      </c>
      <c r="D665" s="3">
        <f t="shared" si="100"/>
        <v>0</v>
      </c>
      <c r="E665" s="3">
        <f t="shared" si="101"/>
        <v>0</v>
      </c>
    </row>
    <row r="666" spans="1:5" x14ac:dyDescent="0.15">
      <c r="A666" s="1" t="s">
        <v>201</v>
      </c>
      <c r="B666" s="126">
        <v>924240</v>
      </c>
      <c r="C666" s="202">
        <f>REMUNERATION!K135</f>
        <v>1093440</v>
      </c>
      <c r="D666" s="3">
        <f t="shared" si="100"/>
        <v>1156900</v>
      </c>
      <c r="E666" s="3">
        <f t="shared" si="101"/>
        <v>1224000</v>
      </c>
    </row>
    <row r="667" spans="1:5" x14ac:dyDescent="0.15">
      <c r="A667" s="1" t="s">
        <v>202</v>
      </c>
      <c r="B667" s="126">
        <v>40000</v>
      </c>
      <c r="C667" s="202">
        <v>55000</v>
      </c>
      <c r="D667" s="3">
        <f t="shared" si="100"/>
        <v>58200</v>
      </c>
      <c r="E667" s="3">
        <f t="shared" si="101"/>
        <v>61600</v>
      </c>
    </row>
    <row r="668" spans="1:5" x14ac:dyDescent="0.15">
      <c r="A668" s="1" t="s">
        <v>203</v>
      </c>
      <c r="B668" s="126">
        <v>82854</v>
      </c>
      <c r="C668" s="202">
        <f>REMUNERATION!M135</f>
        <v>85856.266983333378</v>
      </c>
      <c r="D668" s="3">
        <f t="shared" si="100"/>
        <v>90800</v>
      </c>
      <c r="E668" s="3">
        <f t="shared" si="101"/>
        <v>96100</v>
      </c>
    </row>
    <row r="669" spans="1:5" x14ac:dyDescent="0.15">
      <c r="A669" s="1" t="s">
        <v>204</v>
      </c>
      <c r="B669" s="126">
        <v>1300</v>
      </c>
      <c r="C669" s="202">
        <f>REMUNERATION!L135</f>
        <v>2418</v>
      </c>
      <c r="D669" s="3">
        <f t="shared" si="100"/>
        <v>2600</v>
      </c>
      <c r="E669" s="3">
        <f t="shared" si="101"/>
        <v>2800</v>
      </c>
    </row>
    <row r="670" spans="1:5" x14ac:dyDescent="0.15">
      <c r="C670" s="202"/>
      <c r="D670" s="3"/>
      <c r="E670" s="3"/>
    </row>
    <row r="671" spans="1:5" ht="12" thickBot="1" x14ac:dyDescent="0.2">
      <c r="A671" s="1" t="s">
        <v>247</v>
      </c>
      <c r="B671" s="138">
        <f>SUM(B658:B670)</f>
        <v>12444735</v>
      </c>
      <c r="C671" s="203">
        <f>SUM(C658:C670)</f>
        <v>12771449.789116666</v>
      </c>
      <c r="D671" s="5">
        <f>SUM(D658:D670)</f>
        <v>13512200</v>
      </c>
      <c r="E671" s="5">
        <f>SUM(E658:E670)</f>
        <v>14295900</v>
      </c>
    </row>
    <row r="672" spans="1:5" ht="12" thickTop="1" x14ac:dyDescent="0.15">
      <c r="C672" s="202"/>
      <c r="D672" s="3"/>
      <c r="E672" s="3"/>
    </row>
    <row r="673" spans="1:5" x14ac:dyDescent="0.15">
      <c r="A673" s="6" t="s">
        <v>241</v>
      </c>
      <c r="C673" s="202"/>
      <c r="D673" s="3"/>
      <c r="E673" s="3"/>
    </row>
    <row r="674" spans="1:5" ht="14.25" customHeight="1" x14ac:dyDescent="0.15">
      <c r="A674" s="1"/>
      <c r="C674" s="202"/>
      <c r="D674" s="3"/>
      <c r="E674" s="3"/>
    </row>
    <row r="675" spans="1:5" ht="12" customHeight="1" x14ac:dyDescent="0.15">
      <c r="A675" s="1" t="s">
        <v>2</v>
      </c>
      <c r="B675" s="126">
        <v>272480</v>
      </c>
      <c r="C675" s="202">
        <v>200000</v>
      </c>
      <c r="D675" s="3">
        <f t="shared" ref="D675:D710" si="102">ROUND(+C675*(1+D$1),-2)</f>
        <v>211600</v>
      </c>
      <c r="E675" s="3">
        <f t="shared" ref="E675" si="103">ROUND(+D675*(1+E$1),-2)</f>
        <v>223900</v>
      </c>
    </row>
    <row r="676" spans="1:5" x14ac:dyDescent="0.15">
      <c r="A676" s="1" t="s">
        <v>177</v>
      </c>
      <c r="B676" s="126">
        <v>10480</v>
      </c>
      <c r="C676" s="202">
        <v>0</v>
      </c>
      <c r="D676" s="3">
        <f t="shared" si="102"/>
        <v>0</v>
      </c>
      <c r="E676" s="3">
        <f t="shared" ref="E676:E710" si="104">ROUND(+D676*(1+E$1),-2)</f>
        <v>0</v>
      </c>
    </row>
    <row r="677" spans="1:5" x14ac:dyDescent="0.15">
      <c r="A677" s="1" t="s">
        <v>308</v>
      </c>
      <c r="B677" s="126">
        <v>52400</v>
      </c>
      <c r="C677" s="202">
        <v>50000</v>
      </c>
      <c r="D677" s="3">
        <f t="shared" si="102"/>
        <v>52900</v>
      </c>
      <c r="E677" s="3">
        <f t="shared" si="104"/>
        <v>56000</v>
      </c>
    </row>
    <row r="678" spans="1:5" x14ac:dyDescent="0.15">
      <c r="A678" s="1" t="s">
        <v>205</v>
      </c>
      <c r="B678" s="126">
        <v>314400</v>
      </c>
      <c r="C678" s="202">
        <v>400000</v>
      </c>
      <c r="D678" s="3">
        <f t="shared" si="102"/>
        <v>423200</v>
      </c>
      <c r="E678" s="3">
        <f t="shared" si="104"/>
        <v>447700</v>
      </c>
    </row>
    <row r="679" spans="1:5" x14ac:dyDescent="0.15">
      <c r="A679" s="1" t="s">
        <v>179</v>
      </c>
      <c r="B679" s="126">
        <v>733600</v>
      </c>
      <c r="C679" s="202">
        <v>700000</v>
      </c>
      <c r="D679" s="3">
        <f t="shared" si="102"/>
        <v>740600</v>
      </c>
      <c r="E679" s="3">
        <f t="shared" si="104"/>
        <v>783600</v>
      </c>
    </row>
    <row r="680" spans="1:5" x14ac:dyDescent="0.15">
      <c r="A680" s="1" t="s">
        <v>146</v>
      </c>
      <c r="B680" s="126">
        <v>471600</v>
      </c>
      <c r="C680" s="202">
        <v>400000</v>
      </c>
      <c r="D680" s="3">
        <f t="shared" si="102"/>
        <v>423200</v>
      </c>
      <c r="E680" s="3">
        <f t="shared" si="104"/>
        <v>447700</v>
      </c>
    </row>
    <row r="681" spans="1:5" x14ac:dyDescent="0.15">
      <c r="A681" s="1" t="s">
        <v>173</v>
      </c>
      <c r="B681" s="126">
        <v>209600</v>
      </c>
      <c r="C681" s="202">
        <v>200000</v>
      </c>
      <c r="D681" s="3">
        <f t="shared" si="102"/>
        <v>211600</v>
      </c>
      <c r="E681" s="3">
        <f t="shared" si="104"/>
        <v>223900</v>
      </c>
    </row>
    <row r="682" spans="1:5" x14ac:dyDescent="0.15">
      <c r="A682" s="1" t="s">
        <v>235</v>
      </c>
      <c r="B682" s="126">
        <v>209600</v>
      </c>
      <c r="C682" s="202">
        <v>600000</v>
      </c>
      <c r="D682" s="3">
        <f t="shared" si="102"/>
        <v>634800</v>
      </c>
      <c r="E682" s="3">
        <f t="shared" si="104"/>
        <v>671600</v>
      </c>
    </row>
    <row r="683" spans="1:5" x14ac:dyDescent="0.15">
      <c r="A683" s="1" t="s">
        <v>635</v>
      </c>
      <c r="B683" s="126">
        <v>3020608</v>
      </c>
      <c r="C683" s="202">
        <v>5328755</v>
      </c>
      <c r="D683" s="3">
        <f t="shared" si="102"/>
        <v>5637800</v>
      </c>
      <c r="E683" s="3">
        <f t="shared" si="104"/>
        <v>5964800</v>
      </c>
    </row>
    <row r="684" spans="1:5" x14ac:dyDescent="0.15">
      <c r="A684" s="1" t="s">
        <v>423</v>
      </c>
      <c r="B684" s="126">
        <v>2153600</v>
      </c>
      <c r="C684" s="248">
        <v>0</v>
      </c>
      <c r="D684" s="3">
        <f t="shared" si="102"/>
        <v>0</v>
      </c>
      <c r="E684" s="3">
        <f t="shared" si="104"/>
        <v>0</v>
      </c>
    </row>
    <row r="685" spans="1:5" x14ac:dyDescent="0.15">
      <c r="A685" s="1" t="s">
        <v>178</v>
      </c>
      <c r="B685" s="126">
        <v>5832</v>
      </c>
      <c r="C685" s="202">
        <f t="shared" ref="C685:C710" si="105">B685+B685*0.06</f>
        <v>6181.92</v>
      </c>
      <c r="D685" s="3">
        <f t="shared" si="102"/>
        <v>6500</v>
      </c>
      <c r="E685" s="3">
        <f t="shared" si="104"/>
        <v>6900</v>
      </c>
    </row>
    <row r="686" spans="1:5" x14ac:dyDescent="0.15">
      <c r="A686" s="1" t="s">
        <v>181</v>
      </c>
      <c r="B686" s="126">
        <v>20960</v>
      </c>
      <c r="C686" s="202">
        <v>0</v>
      </c>
      <c r="D686" s="3">
        <f t="shared" si="102"/>
        <v>0</v>
      </c>
      <c r="E686" s="3">
        <f t="shared" si="104"/>
        <v>0</v>
      </c>
    </row>
    <row r="687" spans="1:5" x14ac:dyDescent="0.15">
      <c r="A687" s="1" t="s">
        <v>180</v>
      </c>
      <c r="B687" s="126">
        <v>943200</v>
      </c>
      <c r="C687" s="202">
        <v>600000</v>
      </c>
      <c r="D687" s="3">
        <f t="shared" si="102"/>
        <v>634800</v>
      </c>
      <c r="E687" s="3">
        <f t="shared" si="104"/>
        <v>671600</v>
      </c>
    </row>
    <row r="688" spans="1:5" x14ac:dyDescent="0.15">
      <c r="A688" s="1" t="s">
        <v>186</v>
      </c>
      <c r="B688" s="126">
        <v>4192</v>
      </c>
      <c r="C688" s="202">
        <v>5000</v>
      </c>
      <c r="D688" s="3">
        <f t="shared" si="102"/>
        <v>5300</v>
      </c>
      <c r="E688" s="3">
        <f t="shared" si="104"/>
        <v>5600</v>
      </c>
    </row>
    <row r="689" spans="1:6" x14ac:dyDescent="0.15">
      <c r="A689" s="1" t="s">
        <v>321</v>
      </c>
      <c r="B689" s="126">
        <v>1613920</v>
      </c>
      <c r="C689" s="248">
        <v>0</v>
      </c>
      <c r="D689" s="3">
        <f t="shared" si="102"/>
        <v>0</v>
      </c>
      <c r="E689" s="3">
        <f t="shared" si="104"/>
        <v>0</v>
      </c>
    </row>
    <row r="690" spans="1:6" x14ac:dyDescent="0.15">
      <c r="A690" s="1" t="s">
        <v>137</v>
      </c>
      <c r="B690" s="126">
        <v>100608</v>
      </c>
      <c r="C690" s="202">
        <v>0</v>
      </c>
      <c r="D690" s="3">
        <f t="shared" si="102"/>
        <v>0</v>
      </c>
      <c r="E690" s="3">
        <f t="shared" si="104"/>
        <v>0</v>
      </c>
    </row>
    <row r="691" spans="1:6" x14ac:dyDescent="0.15">
      <c r="A691" s="1" t="s">
        <v>196</v>
      </c>
      <c r="B691" s="126">
        <v>1315542</v>
      </c>
      <c r="C691" s="202">
        <f t="shared" si="105"/>
        <v>1394474.52</v>
      </c>
      <c r="D691" s="3">
        <f t="shared" si="102"/>
        <v>1475400</v>
      </c>
      <c r="E691" s="3">
        <f t="shared" si="104"/>
        <v>1561000</v>
      </c>
      <c r="F691" s="3"/>
    </row>
    <row r="692" spans="1:6" x14ac:dyDescent="0.15">
      <c r="A692" s="1" t="s">
        <v>320</v>
      </c>
      <c r="B692" s="126">
        <v>300000</v>
      </c>
      <c r="C692" s="248">
        <v>0</v>
      </c>
      <c r="D692" s="3">
        <f t="shared" si="102"/>
        <v>0</v>
      </c>
      <c r="E692" s="3">
        <f t="shared" si="104"/>
        <v>0</v>
      </c>
      <c r="F692" s="3"/>
    </row>
    <row r="693" spans="1:6" x14ac:dyDescent="0.15">
      <c r="A693" s="1" t="s">
        <v>194</v>
      </c>
      <c r="B693" s="126">
        <v>200000</v>
      </c>
      <c r="C693" s="202">
        <v>450000</v>
      </c>
      <c r="D693" s="3">
        <f t="shared" si="102"/>
        <v>476100</v>
      </c>
      <c r="E693" s="3">
        <f t="shared" si="104"/>
        <v>503700</v>
      </c>
    </row>
    <row r="694" spans="1:6" x14ac:dyDescent="0.15">
      <c r="A694" s="1" t="s">
        <v>325</v>
      </c>
      <c r="B694" s="126">
        <v>262000</v>
      </c>
      <c r="C694" s="202">
        <v>200000</v>
      </c>
      <c r="D694" s="3">
        <f t="shared" si="102"/>
        <v>211600</v>
      </c>
      <c r="E694" s="3">
        <f t="shared" si="104"/>
        <v>223900</v>
      </c>
    </row>
    <row r="695" spans="1:6" x14ac:dyDescent="0.15">
      <c r="A695" s="1" t="s">
        <v>424</v>
      </c>
      <c r="B695" s="126">
        <v>83840</v>
      </c>
      <c r="C695" s="202">
        <v>50000</v>
      </c>
      <c r="D695" s="3">
        <f t="shared" si="102"/>
        <v>52900</v>
      </c>
      <c r="E695" s="3">
        <f t="shared" si="104"/>
        <v>56000</v>
      </c>
    </row>
    <row r="696" spans="1:6" x14ac:dyDescent="0.15">
      <c r="A696" s="1" t="s">
        <v>187</v>
      </c>
      <c r="B696" s="126">
        <v>8384</v>
      </c>
      <c r="C696" s="202">
        <f t="shared" si="105"/>
        <v>8887.0400000000009</v>
      </c>
      <c r="D696" s="3">
        <f t="shared" si="102"/>
        <v>9400</v>
      </c>
      <c r="E696" s="3">
        <f t="shared" si="104"/>
        <v>9900</v>
      </c>
    </row>
    <row r="697" spans="1:6" x14ac:dyDescent="0.15">
      <c r="A697" s="1" t="s">
        <v>195</v>
      </c>
      <c r="B697" s="126">
        <v>230560</v>
      </c>
      <c r="C697" s="202">
        <f t="shared" si="105"/>
        <v>244393.60000000001</v>
      </c>
      <c r="D697" s="3">
        <f t="shared" si="102"/>
        <v>258600</v>
      </c>
      <c r="E697" s="3">
        <f t="shared" si="104"/>
        <v>273600</v>
      </c>
    </row>
    <row r="698" spans="1:6" x14ac:dyDescent="0.15">
      <c r="A698" s="1" t="s">
        <v>254</v>
      </c>
      <c r="B698" s="126">
        <v>500000</v>
      </c>
      <c r="C698" s="202">
        <v>300000</v>
      </c>
      <c r="D698" s="3">
        <f t="shared" si="102"/>
        <v>317400</v>
      </c>
      <c r="E698" s="3">
        <f t="shared" si="104"/>
        <v>335800</v>
      </c>
    </row>
    <row r="699" spans="1:6" x14ac:dyDescent="0.15">
      <c r="A699" s="1" t="s">
        <v>188</v>
      </c>
      <c r="B699" s="126">
        <v>10480</v>
      </c>
      <c r="C699" s="202">
        <v>110000</v>
      </c>
      <c r="D699" s="3">
        <f t="shared" si="102"/>
        <v>116400</v>
      </c>
      <c r="E699" s="3">
        <f t="shared" si="104"/>
        <v>123200</v>
      </c>
    </row>
    <row r="700" spans="1:6" x14ac:dyDescent="0.15">
      <c r="A700" s="1" t="s">
        <v>570</v>
      </c>
      <c r="B700" s="126">
        <v>1200000</v>
      </c>
      <c r="C700" s="202">
        <v>0</v>
      </c>
      <c r="D700" s="3">
        <f t="shared" si="102"/>
        <v>0</v>
      </c>
      <c r="E700" s="3">
        <f t="shared" si="104"/>
        <v>0</v>
      </c>
    </row>
    <row r="701" spans="1:6" x14ac:dyDescent="0.15">
      <c r="A701" s="1" t="s">
        <v>466</v>
      </c>
      <c r="B701" s="126">
        <v>178160</v>
      </c>
      <c r="C701" s="202">
        <v>200000</v>
      </c>
      <c r="D701" s="3">
        <f t="shared" si="102"/>
        <v>211600</v>
      </c>
      <c r="E701" s="3">
        <f t="shared" si="104"/>
        <v>223900</v>
      </c>
    </row>
    <row r="702" spans="1:6" x14ac:dyDescent="0.15">
      <c r="A702" s="1" t="s">
        <v>467</v>
      </c>
      <c r="B702" s="126">
        <v>250000</v>
      </c>
      <c r="C702" s="202">
        <v>0</v>
      </c>
      <c r="D702" s="3">
        <f t="shared" si="102"/>
        <v>0</v>
      </c>
      <c r="E702" s="3">
        <f t="shared" si="104"/>
        <v>0</v>
      </c>
    </row>
    <row r="703" spans="1:6" x14ac:dyDescent="0.15">
      <c r="A703" s="1" t="s">
        <v>190</v>
      </c>
      <c r="B703" s="126">
        <v>0</v>
      </c>
      <c r="C703" s="202">
        <f t="shared" si="105"/>
        <v>0</v>
      </c>
      <c r="D703" s="3">
        <f t="shared" si="102"/>
        <v>0</v>
      </c>
      <c r="E703" s="3">
        <f t="shared" si="104"/>
        <v>0</v>
      </c>
    </row>
    <row r="704" spans="1:6" x14ac:dyDescent="0.15">
      <c r="A704" s="1" t="s">
        <v>5</v>
      </c>
      <c r="B704" s="126">
        <v>0</v>
      </c>
      <c r="C704" s="202">
        <f t="shared" si="105"/>
        <v>0</v>
      </c>
      <c r="D704" s="3">
        <f t="shared" si="102"/>
        <v>0</v>
      </c>
      <c r="E704" s="3">
        <f t="shared" si="104"/>
        <v>0</v>
      </c>
    </row>
    <row r="705" spans="1:5" x14ac:dyDescent="0.15">
      <c r="A705" s="1" t="s">
        <v>281</v>
      </c>
      <c r="B705" s="126">
        <v>900000</v>
      </c>
      <c r="C705" s="202">
        <v>900000</v>
      </c>
      <c r="D705" s="3">
        <f t="shared" si="102"/>
        <v>952200</v>
      </c>
      <c r="E705" s="3">
        <f t="shared" si="104"/>
        <v>1007400</v>
      </c>
    </row>
    <row r="706" spans="1:5" x14ac:dyDescent="0.15">
      <c r="A706" s="1" t="s">
        <v>196</v>
      </c>
      <c r="B706" s="126">
        <v>0</v>
      </c>
      <c r="C706" s="202">
        <f t="shared" si="105"/>
        <v>0</v>
      </c>
      <c r="D706" s="3">
        <f t="shared" si="102"/>
        <v>0</v>
      </c>
      <c r="E706" s="3">
        <f t="shared" si="104"/>
        <v>0</v>
      </c>
    </row>
    <row r="707" spans="1:5" x14ac:dyDescent="0.15">
      <c r="A707" s="1" t="s">
        <v>3</v>
      </c>
      <c r="B707" s="126">
        <v>0</v>
      </c>
      <c r="C707" s="202">
        <f t="shared" si="105"/>
        <v>0</v>
      </c>
      <c r="D707" s="3">
        <f t="shared" si="102"/>
        <v>0</v>
      </c>
      <c r="E707" s="3">
        <f t="shared" si="104"/>
        <v>0</v>
      </c>
    </row>
    <row r="708" spans="1:5" x14ac:dyDescent="0.15">
      <c r="A708" s="1" t="s">
        <v>303</v>
      </c>
      <c r="B708" s="126">
        <v>0</v>
      </c>
      <c r="C708" s="202">
        <f t="shared" si="105"/>
        <v>0</v>
      </c>
      <c r="D708" s="3">
        <f t="shared" si="102"/>
        <v>0</v>
      </c>
      <c r="E708" s="3">
        <f t="shared" si="104"/>
        <v>0</v>
      </c>
    </row>
    <row r="709" spans="1:5" x14ac:dyDescent="0.15">
      <c r="A709" s="1" t="s">
        <v>191</v>
      </c>
      <c r="B709" s="126">
        <v>298523</v>
      </c>
      <c r="C709" s="202">
        <v>300000</v>
      </c>
      <c r="D709" s="3">
        <f t="shared" si="102"/>
        <v>317400</v>
      </c>
      <c r="E709" s="3">
        <f t="shared" si="104"/>
        <v>335800</v>
      </c>
    </row>
    <row r="710" spans="1:5" x14ac:dyDescent="0.15">
      <c r="A710" s="1" t="s">
        <v>192</v>
      </c>
      <c r="B710" s="126">
        <v>18181</v>
      </c>
      <c r="C710" s="202">
        <f t="shared" si="105"/>
        <v>19271.86</v>
      </c>
      <c r="D710" s="3">
        <f t="shared" si="102"/>
        <v>20400</v>
      </c>
      <c r="E710" s="3">
        <f t="shared" si="104"/>
        <v>21600</v>
      </c>
    </row>
    <row r="711" spans="1:5" ht="12" thickBot="1" x14ac:dyDescent="0.2">
      <c r="A711" s="1" t="s">
        <v>248</v>
      </c>
      <c r="B711" s="138">
        <f>SUM(B675:B710)</f>
        <v>15892750</v>
      </c>
      <c r="C711" s="203">
        <f>SUM(C675:C710)</f>
        <v>12666963.939999998</v>
      </c>
      <c r="D711" s="5">
        <f>SUM(D675:D710)</f>
        <v>13401700</v>
      </c>
      <c r="E711" s="5">
        <f>SUM(E675:E710)</f>
        <v>14179100</v>
      </c>
    </row>
    <row r="712" spans="1:5" ht="12" thickTop="1" x14ac:dyDescent="0.15">
      <c r="C712" s="202"/>
      <c r="D712" s="3"/>
      <c r="E712" s="3"/>
    </row>
    <row r="713" spans="1:5" x14ac:dyDescent="0.15">
      <c r="A713" s="6" t="s">
        <v>249</v>
      </c>
      <c r="C713" s="202"/>
      <c r="D713" s="3"/>
      <c r="E713" s="3"/>
    </row>
    <row r="714" spans="1:5" x14ac:dyDescent="0.15">
      <c r="A714" s="1"/>
      <c r="C714" s="202"/>
      <c r="D714" s="3"/>
      <c r="E714" s="3"/>
    </row>
    <row r="715" spans="1:5" x14ac:dyDescent="0.15">
      <c r="A715" s="1" t="s">
        <v>282</v>
      </c>
      <c r="B715" s="126">
        <v>10480</v>
      </c>
      <c r="C715" s="202">
        <v>0</v>
      </c>
      <c r="D715" s="3">
        <f t="shared" ref="D715:D719" si="106">ROUND(+C715*(1+D$1),-2)</f>
        <v>0</v>
      </c>
      <c r="E715" s="3">
        <f t="shared" ref="E715:E719" si="107">ROUND(+D715*(1+E$1),-2)</f>
        <v>0</v>
      </c>
    </row>
    <row r="716" spans="1:5" x14ac:dyDescent="0.15">
      <c r="A716" s="1" t="s">
        <v>283</v>
      </c>
      <c r="B716" s="126">
        <v>78101</v>
      </c>
      <c r="C716" s="202">
        <v>0</v>
      </c>
      <c r="D716" s="3">
        <f t="shared" si="106"/>
        <v>0</v>
      </c>
      <c r="E716" s="3">
        <f t="shared" si="107"/>
        <v>0</v>
      </c>
    </row>
    <row r="717" spans="1:5" x14ac:dyDescent="0.15">
      <c r="A717" s="1" t="s">
        <v>284</v>
      </c>
      <c r="B717" s="126">
        <v>10480</v>
      </c>
      <c r="C717" s="202">
        <f t="shared" ref="C717" si="108">B717+B717*0.06</f>
        <v>11108.8</v>
      </c>
      <c r="D717" s="3">
        <f t="shared" si="106"/>
        <v>11800</v>
      </c>
      <c r="E717" s="3">
        <f t="shared" si="107"/>
        <v>12500</v>
      </c>
    </row>
    <row r="718" spans="1:5" x14ac:dyDescent="0.15">
      <c r="A718" s="1" t="s">
        <v>608</v>
      </c>
      <c r="B718" s="126"/>
      <c r="C718" s="202">
        <f>1980000+769000</f>
        <v>2749000</v>
      </c>
      <c r="D718" s="3">
        <v>2100000</v>
      </c>
      <c r="E718" s="3">
        <f t="shared" si="107"/>
        <v>2221800</v>
      </c>
    </row>
    <row r="719" spans="1:5" x14ac:dyDescent="0.15">
      <c r="A719" s="1" t="s">
        <v>285</v>
      </c>
      <c r="B719" s="126">
        <v>0</v>
      </c>
      <c r="C719" s="202"/>
      <c r="D719" s="3">
        <f t="shared" si="106"/>
        <v>0</v>
      </c>
      <c r="E719" s="3">
        <f t="shared" si="107"/>
        <v>0</v>
      </c>
    </row>
    <row r="720" spans="1:5" x14ac:dyDescent="0.15">
      <c r="B720" s="126"/>
      <c r="C720" s="202"/>
      <c r="D720" s="3"/>
      <c r="E720" s="3"/>
    </row>
    <row r="721" spans="1:5" ht="12" thickBot="1" x14ac:dyDescent="0.2">
      <c r="A721" s="1" t="s">
        <v>250</v>
      </c>
      <c r="B721" s="138">
        <f>SUM(B715:B720)</f>
        <v>99061</v>
      </c>
      <c r="C721" s="203">
        <f>SUM(C715:C720)</f>
        <v>2760108.8</v>
      </c>
      <c r="D721" s="5">
        <f>SUM(D715:D720)</f>
        <v>2111800</v>
      </c>
      <c r="E721" s="5">
        <f>SUM(E715:E720)</f>
        <v>2234300</v>
      </c>
    </row>
    <row r="722" spans="1:5" ht="12" thickTop="1" x14ac:dyDescent="0.15">
      <c r="C722" s="202"/>
      <c r="D722" s="3"/>
      <c r="E722" s="3"/>
    </row>
    <row r="723" spans="1:5" x14ac:dyDescent="0.15">
      <c r="A723" s="6" t="s">
        <v>251</v>
      </c>
      <c r="C723" s="202"/>
      <c r="D723" s="3"/>
      <c r="E723" s="3"/>
    </row>
    <row r="724" spans="1:5" x14ac:dyDescent="0.15">
      <c r="A724" s="1"/>
      <c r="C724" s="202"/>
      <c r="D724" s="3"/>
      <c r="E724" s="3"/>
    </row>
    <row r="725" spans="1:5" x14ac:dyDescent="0.15">
      <c r="C725" s="202"/>
      <c r="D725" s="3"/>
      <c r="E725" s="3"/>
    </row>
    <row r="726" spans="1:5" ht="12" thickBot="1" x14ac:dyDescent="0.2">
      <c r="A726" s="1" t="s">
        <v>252</v>
      </c>
      <c r="B726" s="10">
        <f>B737</f>
        <v>128130</v>
      </c>
      <c r="C726" s="203">
        <f>C737</f>
        <v>0</v>
      </c>
      <c r="D726" s="5">
        <f>D737</f>
        <v>0</v>
      </c>
      <c r="E726" s="5">
        <f>E737</f>
        <v>0</v>
      </c>
    </row>
    <row r="727" spans="1:5" ht="12" thickTop="1" x14ac:dyDescent="0.15">
      <c r="C727" s="202"/>
      <c r="D727" s="3"/>
      <c r="E727" s="3"/>
    </row>
    <row r="728" spans="1:5" x14ac:dyDescent="0.15">
      <c r="C728" s="202"/>
      <c r="D728" s="3"/>
      <c r="E728" s="3"/>
    </row>
    <row r="729" spans="1:5" ht="12" thickBot="1" x14ac:dyDescent="0.2">
      <c r="A729" s="1" t="s">
        <v>157</v>
      </c>
      <c r="B729" s="138">
        <f>B726+B721+B711+B671</f>
        <v>28564676</v>
      </c>
      <c r="C729" s="203">
        <f>C726+C721+C711+C671</f>
        <v>28198522.529116664</v>
      </c>
      <c r="D729" s="5">
        <f>D726+D721+D711+D671</f>
        <v>29025700</v>
      </c>
      <c r="E729" s="5">
        <f>E726+E721+E711+E671</f>
        <v>30709300</v>
      </c>
    </row>
    <row r="730" spans="1:5" ht="12" thickTop="1" x14ac:dyDescent="0.15">
      <c r="C730" s="202"/>
      <c r="D730" s="3"/>
      <c r="E730" s="3"/>
    </row>
    <row r="731" spans="1:5" x14ac:dyDescent="0.15">
      <c r="A731" s="6" t="s">
        <v>251</v>
      </c>
      <c r="C731" s="202"/>
      <c r="D731" s="3"/>
      <c r="E731" s="3"/>
    </row>
    <row r="732" spans="1:5" x14ac:dyDescent="0.15">
      <c r="A732" s="1"/>
      <c r="C732" s="202"/>
      <c r="D732" s="3"/>
      <c r="E732" s="3"/>
    </row>
    <row r="733" spans="1:5" x14ac:dyDescent="0.15">
      <c r="A733" s="1" t="s">
        <v>288</v>
      </c>
      <c r="B733" s="126">
        <v>23330</v>
      </c>
      <c r="C733" s="202">
        <v>0</v>
      </c>
      <c r="D733" s="3">
        <f t="shared" ref="D733:D735" si="109">ROUND(+C733*(1+D$1),-2)</f>
        <v>0</v>
      </c>
      <c r="E733" s="3">
        <f t="shared" ref="E733:E735" si="110">ROUND(+D733*(1+E$1),-2)</f>
        <v>0</v>
      </c>
    </row>
    <row r="734" spans="1:5" x14ac:dyDescent="0.15">
      <c r="A734" s="1" t="s">
        <v>289</v>
      </c>
      <c r="B734" s="126">
        <v>104800</v>
      </c>
      <c r="C734" s="202">
        <v>0</v>
      </c>
      <c r="D734" s="3">
        <f t="shared" si="109"/>
        <v>0</v>
      </c>
      <c r="E734" s="3">
        <f t="shared" si="110"/>
        <v>0</v>
      </c>
    </row>
    <row r="735" spans="1:5" x14ac:dyDescent="0.15">
      <c r="A735" s="1" t="s">
        <v>290</v>
      </c>
      <c r="C735" s="202">
        <v>0</v>
      </c>
      <c r="D735" s="3">
        <f t="shared" si="109"/>
        <v>0</v>
      </c>
      <c r="E735" s="3">
        <f t="shared" si="110"/>
        <v>0</v>
      </c>
    </row>
    <row r="736" spans="1:5" x14ac:dyDescent="0.15">
      <c r="C736" s="202"/>
      <c r="D736" s="3"/>
      <c r="E736" s="3"/>
    </row>
    <row r="737" spans="1:5" ht="12" thickBot="1" x14ac:dyDescent="0.2">
      <c r="A737" s="1" t="s">
        <v>165</v>
      </c>
      <c r="B737" s="10">
        <f>SUM(B733:B736)</f>
        <v>128130</v>
      </c>
      <c r="C737" s="203">
        <f>SUM(C733:C736)</f>
        <v>0</v>
      </c>
      <c r="D737" s="5">
        <f>SUM(D733:D736)</f>
        <v>0</v>
      </c>
      <c r="E737" s="5">
        <f>SUM(E733:E736)</f>
        <v>0</v>
      </c>
    </row>
    <row r="738" spans="1:5" ht="12" thickTop="1" x14ac:dyDescent="0.15">
      <c r="C738" s="202"/>
      <c r="D738" s="3"/>
      <c r="E738" s="3"/>
    </row>
    <row r="739" spans="1:5" x14ac:dyDescent="0.15">
      <c r="A739" s="1"/>
      <c r="B739" s="156"/>
      <c r="C739" s="206"/>
      <c r="D739" s="3"/>
      <c r="E739" s="3"/>
    </row>
    <row r="740" spans="1:5" x14ac:dyDescent="0.15">
      <c r="A740" s="1"/>
      <c r="B740" s="156" t="str">
        <f t="shared" ref="B740:D741" si="111">B8</f>
        <v>Budget</v>
      </c>
      <c r="C740" s="206" t="str">
        <f t="shared" si="111"/>
        <v>Budget</v>
      </c>
      <c r="D740" s="157" t="str">
        <f t="shared" si="111"/>
        <v>Budget</v>
      </c>
      <c r="E740" s="157" t="s">
        <v>245</v>
      </c>
    </row>
    <row r="741" spans="1:5" x14ac:dyDescent="0.15">
      <c r="B741" s="156" t="str">
        <f t="shared" si="111"/>
        <v>2015/2016</v>
      </c>
      <c r="C741" s="206" t="str">
        <f t="shared" si="111"/>
        <v>2016/2017</v>
      </c>
      <c r="D741" s="157" t="str">
        <f t="shared" si="111"/>
        <v>2017/2018</v>
      </c>
      <c r="E741" s="160" t="str">
        <f>E9</f>
        <v>2018/2019</v>
      </c>
    </row>
    <row r="742" spans="1:5" x14ac:dyDescent="0.15">
      <c r="A742" s="1"/>
      <c r="C742" s="202"/>
      <c r="D742" s="3"/>
      <c r="E742" s="3"/>
    </row>
    <row r="743" spans="1:5" ht="16" x14ac:dyDescent="0.2">
      <c r="A743" s="14" t="s">
        <v>145</v>
      </c>
      <c r="C743" s="202"/>
      <c r="D743" s="3"/>
      <c r="E743" s="3"/>
    </row>
    <row r="744" spans="1:5" x14ac:dyDescent="0.15">
      <c r="A744" s="1"/>
      <c r="C744" s="202"/>
      <c r="D744" s="3"/>
      <c r="E744" s="3"/>
    </row>
    <row r="745" spans="1:5" x14ac:dyDescent="0.15">
      <c r="A745" s="6" t="s">
        <v>246</v>
      </c>
      <c r="C745" s="202"/>
      <c r="D745" s="3"/>
      <c r="E745" s="3"/>
    </row>
    <row r="746" spans="1:5" x14ac:dyDescent="0.15">
      <c r="A746" s="1"/>
      <c r="C746" s="202"/>
      <c r="D746" s="3"/>
      <c r="E746" s="3"/>
    </row>
    <row r="747" spans="1:5" x14ac:dyDescent="0.15">
      <c r="A747" s="1" t="s">
        <v>197</v>
      </c>
      <c r="B747" s="126">
        <v>3987963</v>
      </c>
      <c r="C747" s="202">
        <f>REMUNERATION!F153</f>
        <v>3600799.8800000008</v>
      </c>
      <c r="D747" s="3">
        <f t="shared" ref="D747:D759" si="112">ROUND(+C747*(1+D$1),-2)</f>
        <v>3809600</v>
      </c>
      <c r="E747" s="3">
        <f t="shared" ref="E747:E759" si="113">ROUND(+D747*(1+E$1),-2)</f>
        <v>4030600</v>
      </c>
    </row>
    <row r="748" spans="1:5" x14ac:dyDescent="0.15">
      <c r="A748" s="1" t="s">
        <v>231</v>
      </c>
      <c r="B748" s="126">
        <v>391528</v>
      </c>
      <c r="C748" s="202">
        <f>REMUNERATION!N153</f>
        <v>324405.8599333333</v>
      </c>
      <c r="D748" s="3">
        <f t="shared" si="112"/>
        <v>343200</v>
      </c>
      <c r="E748" s="3">
        <f t="shared" si="113"/>
        <v>363100</v>
      </c>
    </row>
    <row r="749" spans="1:5" x14ac:dyDescent="0.15">
      <c r="A749" s="1" t="s">
        <v>193</v>
      </c>
      <c r="B749" s="126">
        <v>80000</v>
      </c>
      <c r="C749" s="202">
        <f>REMUNERATION!E151</f>
        <v>80000</v>
      </c>
      <c r="D749" s="3">
        <f t="shared" si="112"/>
        <v>84600</v>
      </c>
      <c r="E749" s="3">
        <f t="shared" si="113"/>
        <v>89500</v>
      </c>
    </row>
    <row r="750" spans="1:5" x14ac:dyDescent="0.15">
      <c r="A750" s="1" t="s">
        <v>198</v>
      </c>
      <c r="B750" s="126">
        <v>49392</v>
      </c>
      <c r="C750" s="202">
        <f>REMUNERATION!I153</f>
        <v>50400</v>
      </c>
      <c r="D750" s="3">
        <f t="shared" si="112"/>
        <v>53300</v>
      </c>
      <c r="E750" s="3">
        <f t="shared" si="113"/>
        <v>56400</v>
      </c>
    </row>
    <row r="751" spans="1:5" x14ac:dyDescent="0.15">
      <c r="A751" s="1" t="s">
        <v>199</v>
      </c>
      <c r="B751" s="126">
        <v>304547</v>
      </c>
      <c r="C751" s="202">
        <f>REMUNERATION!H153</f>
        <v>328126.2</v>
      </c>
      <c r="D751" s="3">
        <f t="shared" si="112"/>
        <v>347200</v>
      </c>
      <c r="E751" s="3">
        <f t="shared" si="113"/>
        <v>367300</v>
      </c>
    </row>
    <row r="752" spans="1:5" x14ac:dyDescent="0.15">
      <c r="A752" s="1" t="s">
        <v>200</v>
      </c>
      <c r="B752" s="126">
        <v>55000</v>
      </c>
      <c r="C752" s="202">
        <f>REMUNERATION!E152</f>
        <v>55000</v>
      </c>
      <c r="D752" s="3">
        <f t="shared" si="112"/>
        <v>58200</v>
      </c>
      <c r="E752" s="3">
        <f t="shared" si="113"/>
        <v>61600</v>
      </c>
    </row>
    <row r="753" spans="1:5" x14ac:dyDescent="0.15">
      <c r="A753" s="1" t="s">
        <v>169</v>
      </c>
      <c r="B753" s="126">
        <v>692513</v>
      </c>
      <c r="C753" s="202">
        <f>REMUNERATION!G153</f>
        <v>677446.04680000001</v>
      </c>
      <c r="D753" s="3">
        <f t="shared" si="112"/>
        <v>716700</v>
      </c>
      <c r="E753" s="3">
        <f t="shared" si="113"/>
        <v>758300</v>
      </c>
    </row>
    <row r="754" spans="1:5" x14ac:dyDescent="0.15">
      <c r="A754" s="1" t="s">
        <v>201</v>
      </c>
      <c r="B754" s="126">
        <v>974880</v>
      </c>
      <c r="C754" s="202">
        <f>REMUNERATION!K153</f>
        <v>1031280</v>
      </c>
      <c r="D754" s="3">
        <f t="shared" si="112"/>
        <v>1091100</v>
      </c>
      <c r="E754" s="3">
        <f t="shared" si="113"/>
        <v>1154400</v>
      </c>
    </row>
    <row r="755" spans="1:5" x14ac:dyDescent="0.15">
      <c r="A755" s="1" t="s">
        <v>313</v>
      </c>
      <c r="B755" s="126"/>
      <c r="C755" s="202">
        <v>68507</v>
      </c>
      <c r="D755" s="3"/>
      <c r="E755" s="3"/>
    </row>
    <row r="756" spans="1:5" x14ac:dyDescent="0.15">
      <c r="A756" s="1" t="s">
        <v>4</v>
      </c>
      <c r="B756" s="126">
        <v>0</v>
      </c>
      <c r="C756" s="202">
        <v>0</v>
      </c>
      <c r="D756" s="3">
        <f t="shared" si="112"/>
        <v>0</v>
      </c>
      <c r="E756" s="3">
        <f t="shared" ref="E756" si="114">ROUND(+D756*(1+E$1),-2)</f>
        <v>0</v>
      </c>
    </row>
    <row r="757" spans="1:5" x14ac:dyDescent="0.15">
      <c r="A757" s="1" t="s">
        <v>202</v>
      </c>
      <c r="B757" s="126">
        <v>9600</v>
      </c>
      <c r="C757" s="202">
        <f>REMUNERATION!J153</f>
        <v>11556</v>
      </c>
      <c r="D757" s="3">
        <f t="shared" si="112"/>
        <v>12200</v>
      </c>
      <c r="E757" s="3">
        <f t="shared" si="113"/>
        <v>12900</v>
      </c>
    </row>
    <row r="758" spans="1:5" x14ac:dyDescent="0.15">
      <c r="A758" s="1" t="s">
        <v>203</v>
      </c>
      <c r="B758" s="126">
        <v>40328</v>
      </c>
      <c r="C758" s="202">
        <f>REMUNERATION!M153</f>
        <v>39920.617683333337</v>
      </c>
      <c r="D758" s="3">
        <f t="shared" si="112"/>
        <v>42200</v>
      </c>
      <c r="E758" s="3">
        <f t="shared" si="113"/>
        <v>44600</v>
      </c>
    </row>
    <row r="759" spans="1:5" x14ac:dyDescent="0.15">
      <c r="A759" s="1" t="s">
        <v>204</v>
      </c>
      <c r="B759" s="126">
        <v>350</v>
      </c>
      <c r="C759" s="202">
        <f>REMUNERATION!L153</f>
        <v>651</v>
      </c>
      <c r="D759" s="3">
        <f t="shared" si="112"/>
        <v>700</v>
      </c>
      <c r="E759" s="3">
        <f t="shared" si="113"/>
        <v>700</v>
      </c>
    </row>
    <row r="760" spans="1:5" x14ac:dyDescent="0.15">
      <c r="C760" s="202"/>
      <c r="D760" s="3"/>
      <c r="E760" s="3"/>
    </row>
    <row r="761" spans="1:5" ht="12" thickBot="1" x14ac:dyDescent="0.2">
      <c r="A761" s="1" t="s">
        <v>247</v>
      </c>
      <c r="B761" s="138">
        <f>SUM(B747:B760)</f>
        <v>6586101</v>
      </c>
      <c r="C761" s="203">
        <f>SUM(C747:C760)</f>
        <v>6268092.6044166675</v>
      </c>
      <c r="D761" s="5">
        <f>SUM(D747:D760)</f>
        <v>6559000</v>
      </c>
      <c r="E761" s="5">
        <f>SUM(E747:E760)</f>
        <v>6939400</v>
      </c>
    </row>
    <row r="762" spans="1:5" ht="12" thickTop="1" x14ac:dyDescent="0.15">
      <c r="C762" s="202"/>
      <c r="D762" s="3"/>
      <c r="E762" s="3"/>
    </row>
    <row r="763" spans="1:5" x14ac:dyDescent="0.15">
      <c r="A763" s="6" t="s">
        <v>241</v>
      </c>
      <c r="C763" s="202"/>
      <c r="D763" s="3"/>
      <c r="E763" s="3"/>
    </row>
    <row r="764" spans="1:5" x14ac:dyDescent="0.15">
      <c r="A764" s="1"/>
      <c r="C764" s="202"/>
      <c r="D764" s="3"/>
      <c r="E764" s="3"/>
    </row>
    <row r="765" spans="1:5" x14ac:dyDescent="0.15">
      <c r="A765" s="1" t="s">
        <v>183</v>
      </c>
      <c r="B765" s="126">
        <v>8165</v>
      </c>
      <c r="C765" s="202">
        <f t="shared" ref="C765:C772" si="115">B765+B765*0.06</f>
        <v>8654.9</v>
      </c>
      <c r="D765" s="3">
        <f t="shared" ref="D765:D773" si="116">ROUND(+C765*(1+D$1),-2)</f>
        <v>9200</v>
      </c>
      <c r="E765" s="3">
        <f t="shared" ref="E765:E772" si="117">ROUND(+D765*(1+E$1),-2)</f>
        <v>9700</v>
      </c>
    </row>
    <row r="766" spans="1:5" x14ac:dyDescent="0.15">
      <c r="A766" s="1" t="s">
        <v>177</v>
      </c>
      <c r="B766" s="126">
        <v>10480</v>
      </c>
      <c r="C766" s="202">
        <v>0</v>
      </c>
      <c r="D766" s="3">
        <f t="shared" si="116"/>
        <v>0</v>
      </c>
      <c r="E766" s="3">
        <f t="shared" si="117"/>
        <v>0</v>
      </c>
    </row>
    <row r="767" spans="1:5" x14ac:dyDescent="0.15">
      <c r="A767" s="1" t="s">
        <v>205</v>
      </c>
      <c r="B767" s="126">
        <v>0</v>
      </c>
      <c r="C767" s="202">
        <f t="shared" si="115"/>
        <v>0</v>
      </c>
      <c r="D767" s="3">
        <f t="shared" si="116"/>
        <v>0</v>
      </c>
      <c r="E767" s="3">
        <f t="shared" si="117"/>
        <v>0</v>
      </c>
    </row>
    <row r="768" spans="1:5" x14ac:dyDescent="0.15">
      <c r="A768" s="1" t="s">
        <v>195</v>
      </c>
      <c r="B768" s="126">
        <v>49209</v>
      </c>
      <c r="C768" s="202">
        <f t="shared" si="115"/>
        <v>52161.54</v>
      </c>
      <c r="D768" s="3">
        <f t="shared" si="116"/>
        <v>55200</v>
      </c>
      <c r="E768" s="3">
        <f t="shared" si="117"/>
        <v>58400</v>
      </c>
    </row>
    <row r="769" spans="1:5" x14ac:dyDescent="0.15">
      <c r="A769" s="2" t="s">
        <v>188</v>
      </c>
      <c r="B769" s="126">
        <v>23877</v>
      </c>
      <c r="C769" s="202">
        <v>0</v>
      </c>
      <c r="D769" s="3">
        <f t="shared" si="116"/>
        <v>0</v>
      </c>
      <c r="E769" s="3">
        <f t="shared" si="117"/>
        <v>0</v>
      </c>
    </row>
    <row r="770" spans="1:5" x14ac:dyDescent="0.15">
      <c r="A770" s="1" t="s">
        <v>317</v>
      </c>
      <c r="B770" s="126">
        <v>8346</v>
      </c>
      <c r="C770" s="202">
        <f t="shared" si="115"/>
        <v>8846.76</v>
      </c>
      <c r="D770" s="3">
        <f t="shared" si="116"/>
        <v>9400</v>
      </c>
      <c r="E770" s="3">
        <f t="shared" si="117"/>
        <v>9900</v>
      </c>
    </row>
    <row r="771" spans="1:5" x14ac:dyDescent="0.15">
      <c r="A771" s="2" t="s">
        <v>131</v>
      </c>
      <c r="B771" s="126">
        <v>0</v>
      </c>
      <c r="C771" s="202">
        <v>40000</v>
      </c>
      <c r="D771" s="3">
        <f t="shared" si="116"/>
        <v>42300</v>
      </c>
      <c r="E771" s="3">
        <f t="shared" si="117"/>
        <v>44800</v>
      </c>
    </row>
    <row r="772" spans="1:5" x14ac:dyDescent="0.15">
      <c r="A772" s="1" t="s">
        <v>303</v>
      </c>
      <c r="B772" s="126">
        <v>0</v>
      </c>
      <c r="C772" s="202">
        <f t="shared" si="115"/>
        <v>0</v>
      </c>
      <c r="D772" s="3">
        <f t="shared" si="116"/>
        <v>0</v>
      </c>
      <c r="E772" s="3">
        <f t="shared" si="117"/>
        <v>0</v>
      </c>
    </row>
    <row r="773" spans="1:5" x14ac:dyDescent="0.15">
      <c r="A773" s="1" t="s">
        <v>191</v>
      </c>
      <c r="B773" s="126">
        <v>411298</v>
      </c>
      <c r="C773" s="202">
        <v>440000</v>
      </c>
      <c r="D773" s="3">
        <f t="shared" si="116"/>
        <v>465500</v>
      </c>
      <c r="E773" s="3">
        <v>500000</v>
      </c>
    </row>
    <row r="774" spans="1:5" ht="12" thickBot="1" x14ac:dyDescent="0.2">
      <c r="A774" s="1" t="s">
        <v>248</v>
      </c>
      <c r="B774" s="138">
        <f>SUM(B765:B773)</f>
        <v>511375</v>
      </c>
      <c r="C774" s="203">
        <f>SUM(C765:C773)</f>
        <v>549663.19999999995</v>
      </c>
      <c r="D774" s="5">
        <f>SUM(D765:D773)</f>
        <v>581600</v>
      </c>
      <c r="E774" s="5">
        <f>SUM(E765:E773)</f>
        <v>622800</v>
      </c>
    </row>
    <row r="775" spans="1:5" ht="12" thickTop="1" x14ac:dyDescent="0.15">
      <c r="C775" s="202"/>
      <c r="D775" s="3"/>
      <c r="E775" s="3"/>
    </row>
    <row r="776" spans="1:5" x14ac:dyDescent="0.15">
      <c r="A776" s="6" t="s">
        <v>249</v>
      </c>
      <c r="C776" s="202"/>
      <c r="D776" s="3"/>
      <c r="E776" s="3"/>
    </row>
    <row r="777" spans="1:5" x14ac:dyDescent="0.15">
      <c r="A777" s="1"/>
      <c r="C777" s="202"/>
      <c r="D777" s="3"/>
      <c r="E777" s="3"/>
    </row>
    <row r="778" spans="1:5" x14ac:dyDescent="0.15">
      <c r="A778" s="1" t="s">
        <v>282</v>
      </c>
      <c r="B778" s="126">
        <v>0</v>
      </c>
      <c r="C778" s="202">
        <f t="shared" ref="C778:C779" si="118">B778+B778*0.06</f>
        <v>0</v>
      </c>
      <c r="D778" s="3">
        <f t="shared" ref="D778:D779" si="119">ROUND(+C778*(1+D$1),-2)</f>
        <v>0</v>
      </c>
      <c r="E778" s="3">
        <f t="shared" ref="E778:E779" si="120">ROUND(+D778*(1+E$1),-2)</f>
        <v>0</v>
      </c>
    </row>
    <row r="779" spans="1:5" x14ac:dyDescent="0.15">
      <c r="A779" s="1" t="s">
        <v>283</v>
      </c>
      <c r="B779" s="126">
        <v>0</v>
      </c>
      <c r="C779" s="202">
        <f t="shared" si="118"/>
        <v>0</v>
      </c>
      <c r="D779" s="3">
        <f t="shared" si="119"/>
        <v>0</v>
      </c>
      <c r="E779" s="3">
        <f t="shared" si="120"/>
        <v>0</v>
      </c>
    </row>
    <row r="780" spans="1:5" x14ac:dyDescent="0.15">
      <c r="B780" s="126"/>
      <c r="C780" s="202"/>
      <c r="D780" s="3"/>
      <c r="E780" s="3"/>
    </row>
    <row r="781" spans="1:5" ht="12" thickBot="1" x14ac:dyDescent="0.2">
      <c r="A781" s="1" t="s">
        <v>250</v>
      </c>
      <c r="B781" s="138">
        <f>SUM(B778:B780)</f>
        <v>0</v>
      </c>
      <c r="C781" s="203">
        <f>SUM(C778:C780)</f>
        <v>0</v>
      </c>
      <c r="D781" s="5">
        <f>SUM(D778:D780)</f>
        <v>0</v>
      </c>
      <c r="E781" s="5">
        <f>SUM(E778:E780)</f>
        <v>0</v>
      </c>
    </row>
    <row r="782" spans="1:5" ht="12" thickTop="1" x14ac:dyDescent="0.15">
      <c r="C782" s="202"/>
      <c r="D782" s="3"/>
      <c r="E782" s="3"/>
    </row>
    <row r="783" spans="1:5" x14ac:dyDescent="0.15">
      <c r="A783" s="6" t="s">
        <v>251</v>
      </c>
      <c r="C783" s="202"/>
      <c r="D783" s="3"/>
      <c r="E783" s="3"/>
    </row>
    <row r="784" spans="1:5" x14ac:dyDescent="0.15">
      <c r="A784" s="1"/>
      <c r="C784" s="202"/>
      <c r="D784" s="3"/>
      <c r="E784" s="3"/>
    </row>
    <row r="785" spans="1:5" x14ac:dyDescent="0.15">
      <c r="C785" s="202"/>
      <c r="D785" s="3"/>
      <c r="E785" s="3"/>
    </row>
    <row r="786" spans="1:5" ht="12" thickBot="1" x14ac:dyDescent="0.2">
      <c r="A786" s="1" t="s">
        <v>252</v>
      </c>
      <c r="B786" s="10">
        <f>B797</f>
        <v>0</v>
      </c>
      <c r="C786" s="203">
        <f>C797</f>
        <v>0</v>
      </c>
      <c r="D786" s="5">
        <f>D797</f>
        <v>0</v>
      </c>
      <c r="E786" s="5">
        <f>E797</f>
        <v>0</v>
      </c>
    </row>
    <row r="787" spans="1:5" ht="12" thickTop="1" x14ac:dyDescent="0.15">
      <c r="C787" s="202"/>
      <c r="D787" s="3"/>
      <c r="E787" s="3"/>
    </row>
    <row r="788" spans="1:5" x14ac:dyDescent="0.15">
      <c r="C788" s="202"/>
      <c r="D788" s="3"/>
      <c r="E788" s="3"/>
    </row>
    <row r="789" spans="1:5" ht="12" thickBot="1" x14ac:dyDescent="0.2">
      <c r="A789" s="1" t="s">
        <v>157</v>
      </c>
      <c r="B789" s="138">
        <f>B786+B781+B774+B761</f>
        <v>7097476</v>
      </c>
      <c r="C789" s="203">
        <f>C786+C781+C774+C761</f>
        <v>6817755.8044166677</v>
      </c>
      <c r="D789" s="5">
        <f>D786+D781+D774+D761</f>
        <v>7140600</v>
      </c>
      <c r="E789" s="5">
        <f>E786+E781+E774+E761</f>
        <v>7562200</v>
      </c>
    </row>
    <row r="790" spans="1:5" ht="12" thickTop="1" x14ac:dyDescent="0.15">
      <c r="C790" s="202"/>
      <c r="D790" s="3"/>
      <c r="E790" s="3"/>
    </row>
    <row r="791" spans="1:5" x14ac:dyDescent="0.15">
      <c r="A791" s="6" t="s">
        <v>251</v>
      </c>
      <c r="C791" s="202"/>
      <c r="D791" s="3"/>
      <c r="E791" s="3"/>
    </row>
    <row r="792" spans="1:5" x14ac:dyDescent="0.15">
      <c r="A792" s="1"/>
      <c r="C792" s="202"/>
      <c r="D792" s="3"/>
      <c r="E792" s="3"/>
    </row>
    <row r="793" spans="1:5" x14ac:dyDescent="0.15">
      <c r="A793" s="1" t="s">
        <v>288</v>
      </c>
      <c r="C793" s="202">
        <f t="shared" ref="C793:C796" si="121">B793+B793*0.06</f>
        <v>0</v>
      </c>
      <c r="D793" s="3">
        <f>ROUND(+C793*(1+D$1),-2)</f>
        <v>0</v>
      </c>
      <c r="E793" s="3">
        <f t="shared" ref="E793:E796" si="122">ROUND(+D793*(1+E$1),-2)</f>
        <v>0</v>
      </c>
    </row>
    <row r="794" spans="1:5" x14ac:dyDescent="0.15">
      <c r="A794" s="1" t="s">
        <v>289</v>
      </c>
      <c r="C794" s="202">
        <f t="shared" si="121"/>
        <v>0</v>
      </c>
      <c r="D794" s="3">
        <f>ROUND(+C794*(1+D$1),-2)</f>
        <v>0</v>
      </c>
      <c r="E794" s="3">
        <f t="shared" si="122"/>
        <v>0</v>
      </c>
    </row>
    <row r="795" spans="1:5" x14ac:dyDescent="0.15">
      <c r="A795" s="1" t="s">
        <v>290</v>
      </c>
      <c r="C795" s="202">
        <f t="shared" si="121"/>
        <v>0</v>
      </c>
      <c r="D795" s="3">
        <f>ROUND(+C795*(1+D$1),-2)</f>
        <v>0</v>
      </c>
      <c r="E795" s="3">
        <f t="shared" si="122"/>
        <v>0</v>
      </c>
    </row>
    <row r="796" spans="1:5" x14ac:dyDescent="0.15">
      <c r="A796" s="2" t="s">
        <v>109</v>
      </c>
      <c r="B796" s="126">
        <v>0</v>
      </c>
      <c r="C796" s="202">
        <f t="shared" si="121"/>
        <v>0</v>
      </c>
      <c r="D796" s="3">
        <f>ROUND(+C796*(1+D$1),-2)</f>
        <v>0</v>
      </c>
      <c r="E796" s="3">
        <f t="shared" si="122"/>
        <v>0</v>
      </c>
    </row>
    <row r="797" spans="1:5" ht="12" thickBot="1" x14ac:dyDescent="0.2">
      <c r="A797" s="1" t="s">
        <v>165</v>
      </c>
      <c r="B797" s="10">
        <f>SUM(B793:B796)</f>
        <v>0</v>
      </c>
      <c r="C797" s="203">
        <f>SUM(C793:C796)</f>
        <v>0</v>
      </c>
      <c r="D797" s="5">
        <f>SUM(D793:D796)</f>
        <v>0</v>
      </c>
      <c r="E797" s="5">
        <f>SUM(E793:E796)</f>
        <v>0</v>
      </c>
    </row>
    <row r="798" spans="1:5" ht="12" thickTop="1" x14ac:dyDescent="0.15">
      <c r="C798" s="202"/>
      <c r="D798" s="3"/>
      <c r="E798" s="3"/>
    </row>
    <row r="799" spans="1:5" x14ac:dyDescent="0.15">
      <c r="A799" s="1"/>
      <c r="B799" s="156"/>
      <c r="C799" s="206"/>
      <c r="D799" s="3"/>
      <c r="E799" s="3"/>
    </row>
    <row r="800" spans="1:5" x14ac:dyDescent="0.15">
      <c r="A800" s="1"/>
      <c r="B800" s="156" t="str">
        <f t="shared" ref="B800:D801" si="123">B8</f>
        <v>Budget</v>
      </c>
      <c r="C800" s="206" t="str">
        <f t="shared" si="123"/>
        <v>Budget</v>
      </c>
      <c r="D800" s="157" t="str">
        <f t="shared" si="123"/>
        <v>Budget</v>
      </c>
      <c r="E800" s="157" t="s">
        <v>245</v>
      </c>
    </row>
    <row r="801" spans="1:5" x14ac:dyDescent="0.15">
      <c r="B801" s="156" t="str">
        <f t="shared" si="123"/>
        <v>2015/2016</v>
      </c>
      <c r="C801" s="206" t="str">
        <f t="shared" si="123"/>
        <v>2016/2017</v>
      </c>
      <c r="D801" s="157" t="str">
        <f t="shared" si="123"/>
        <v>2017/2018</v>
      </c>
      <c r="E801" s="160" t="str">
        <f>E9</f>
        <v>2018/2019</v>
      </c>
    </row>
    <row r="802" spans="1:5" x14ac:dyDescent="0.15">
      <c r="A802" s="1"/>
      <c r="C802" s="202"/>
      <c r="D802" s="3"/>
      <c r="E802" s="3"/>
    </row>
    <row r="803" spans="1:5" ht="16" x14ac:dyDescent="0.2">
      <c r="A803" s="14" t="s">
        <v>366</v>
      </c>
      <c r="C803" s="202"/>
      <c r="D803" s="3"/>
      <c r="E803" s="3"/>
    </row>
    <row r="804" spans="1:5" x14ac:dyDescent="0.15">
      <c r="A804" s="1"/>
      <c r="C804" s="202"/>
      <c r="D804" s="3"/>
      <c r="E804" s="3"/>
    </row>
    <row r="805" spans="1:5" x14ac:dyDescent="0.15">
      <c r="A805" s="6" t="s">
        <v>246</v>
      </c>
      <c r="C805" s="202"/>
      <c r="D805" s="3"/>
      <c r="E805" s="3"/>
    </row>
    <row r="806" spans="1:5" x14ac:dyDescent="0.15">
      <c r="A806" s="1"/>
      <c r="C806" s="202"/>
      <c r="D806" s="3"/>
      <c r="E806" s="3"/>
    </row>
    <row r="807" spans="1:5" x14ac:dyDescent="0.15">
      <c r="A807" s="1" t="s">
        <v>197</v>
      </c>
      <c r="B807" s="126">
        <v>5877506</v>
      </c>
      <c r="C807" s="202">
        <f>REMUNERATION!F184</f>
        <v>6120285.6500000013</v>
      </c>
      <c r="D807" s="3">
        <f t="shared" ref="D807:D820" si="124">ROUND(+C807*(1+D$1),-2)</f>
        <v>6475300</v>
      </c>
      <c r="E807" s="3">
        <f t="shared" ref="E807:E819" si="125">ROUND(+D807*(1+E$1),-2)</f>
        <v>6850900</v>
      </c>
    </row>
    <row r="808" spans="1:5" x14ac:dyDescent="0.15">
      <c r="A808" s="1" t="s">
        <v>231</v>
      </c>
      <c r="B808" s="126">
        <v>529243</v>
      </c>
      <c r="C808" s="202">
        <f>REMUNERATION!N184</f>
        <v>511296.42909999995</v>
      </c>
      <c r="D808" s="3">
        <f t="shared" si="124"/>
        <v>541000</v>
      </c>
      <c r="E808" s="3">
        <f t="shared" si="125"/>
        <v>572400</v>
      </c>
    </row>
    <row r="809" spans="1:5" x14ac:dyDescent="0.15">
      <c r="A809" s="1" t="s">
        <v>193</v>
      </c>
      <c r="B809" s="126">
        <v>80000</v>
      </c>
      <c r="C809" s="202">
        <f>REMUNERATION!E181</f>
        <v>80000</v>
      </c>
      <c r="D809" s="3">
        <f t="shared" si="124"/>
        <v>84600</v>
      </c>
      <c r="E809" s="3">
        <f t="shared" si="125"/>
        <v>89500</v>
      </c>
    </row>
    <row r="810" spans="1:5" x14ac:dyDescent="0.15">
      <c r="A810" s="1" t="s">
        <v>198</v>
      </c>
      <c r="B810" s="126">
        <v>115248</v>
      </c>
      <c r="C810" s="202">
        <f>REMUNERATION!I184</f>
        <v>117600</v>
      </c>
      <c r="D810" s="3">
        <f t="shared" si="124"/>
        <v>124400</v>
      </c>
      <c r="E810" s="3">
        <f t="shared" si="125"/>
        <v>131600</v>
      </c>
    </row>
    <row r="811" spans="1:5" x14ac:dyDescent="0.15">
      <c r="A811" s="1" t="s">
        <v>199</v>
      </c>
      <c r="B811" s="126">
        <v>652601</v>
      </c>
      <c r="C811" s="202">
        <f>REMUNERATION!H184</f>
        <v>658627.80000000005</v>
      </c>
      <c r="D811" s="3">
        <f t="shared" si="124"/>
        <v>696800</v>
      </c>
      <c r="E811" s="3">
        <f t="shared" si="125"/>
        <v>737200</v>
      </c>
    </row>
    <row r="812" spans="1:5" x14ac:dyDescent="0.15">
      <c r="A812" s="1" t="s">
        <v>200</v>
      </c>
      <c r="B812" s="126">
        <v>154000</v>
      </c>
      <c r="C812" s="202">
        <v>144000</v>
      </c>
      <c r="D812" s="3">
        <f t="shared" si="124"/>
        <v>152400</v>
      </c>
      <c r="E812" s="3">
        <f t="shared" si="125"/>
        <v>161200</v>
      </c>
    </row>
    <row r="813" spans="1:5" x14ac:dyDescent="0.15">
      <c r="A813" s="1" t="s">
        <v>169</v>
      </c>
      <c r="B813" s="126">
        <v>1166644</v>
      </c>
      <c r="C813" s="202">
        <f>REMUNERATION!G184</f>
        <v>1172607.9462000001</v>
      </c>
      <c r="D813" s="3">
        <f t="shared" si="124"/>
        <v>1240600</v>
      </c>
      <c r="E813" s="3">
        <f t="shared" si="125"/>
        <v>1312600</v>
      </c>
    </row>
    <row r="814" spans="1:5" x14ac:dyDescent="0.15">
      <c r="A814" s="1" t="s">
        <v>313</v>
      </c>
      <c r="B814" s="126">
        <v>0</v>
      </c>
      <c r="C814" s="202">
        <v>0</v>
      </c>
      <c r="D814" s="3">
        <f t="shared" si="124"/>
        <v>0</v>
      </c>
      <c r="E814" s="3">
        <f t="shared" si="125"/>
        <v>0</v>
      </c>
    </row>
    <row r="815" spans="1:5" x14ac:dyDescent="0.15">
      <c r="A815" s="1" t="s">
        <v>4</v>
      </c>
      <c r="B815" s="126">
        <v>10900</v>
      </c>
      <c r="C815" s="202">
        <f>REMUNERATION!E183</f>
        <v>10900</v>
      </c>
      <c r="D815" s="3">
        <f t="shared" si="124"/>
        <v>11500</v>
      </c>
      <c r="E815" s="3">
        <f t="shared" ref="E815" si="126">ROUND(+D815*(1+E$1),-2)</f>
        <v>12200</v>
      </c>
    </row>
    <row r="816" spans="1:5" x14ac:dyDescent="0.15">
      <c r="A816" s="1" t="s">
        <v>201</v>
      </c>
      <c r="B816" s="126">
        <v>1560960</v>
      </c>
      <c r="C816" s="202">
        <f>REMUNERATION!K184</f>
        <v>1815360</v>
      </c>
      <c r="D816" s="3">
        <f t="shared" si="124"/>
        <v>1920700</v>
      </c>
      <c r="E816" s="3">
        <f t="shared" si="125"/>
        <v>2032100</v>
      </c>
    </row>
    <row r="817" spans="1:5" x14ac:dyDescent="0.15">
      <c r="A817" s="1" t="s">
        <v>202</v>
      </c>
      <c r="B817" s="126">
        <v>22400</v>
      </c>
      <c r="C817" s="202">
        <v>32400</v>
      </c>
      <c r="D817" s="3">
        <f t="shared" si="124"/>
        <v>34300</v>
      </c>
      <c r="E817" s="3">
        <f t="shared" si="125"/>
        <v>36300</v>
      </c>
    </row>
    <row r="818" spans="1:5" x14ac:dyDescent="0.15">
      <c r="A818" s="1" t="s">
        <v>203</v>
      </c>
      <c r="B818" s="126">
        <v>67881</v>
      </c>
      <c r="C818" s="202">
        <v>67881</v>
      </c>
      <c r="D818" s="3">
        <f t="shared" si="124"/>
        <v>71800</v>
      </c>
      <c r="E818" s="3">
        <f t="shared" si="125"/>
        <v>76000</v>
      </c>
    </row>
    <row r="819" spans="1:5" x14ac:dyDescent="0.15">
      <c r="A819" s="1" t="s">
        <v>204</v>
      </c>
      <c r="B819" s="126">
        <v>750</v>
      </c>
      <c r="C819" s="202">
        <f>REMUNERATION!L184</f>
        <v>1395</v>
      </c>
      <c r="D819" s="3">
        <f t="shared" si="124"/>
        <v>1500</v>
      </c>
      <c r="E819" s="3">
        <f t="shared" si="125"/>
        <v>1600</v>
      </c>
    </row>
    <row r="820" spans="1:5" x14ac:dyDescent="0.15">
      <c r="A820" s="1" t="s">
        <v>4</v>
      </c>
      <c r="B820" s="126">
        <v>0</v>
      </c>
      <c r="C820" s="202">
        <v>0</v>
      </c>
      <c r="D820" s="3">
        <f t="shared" si="124"/>
        <v>0</v>
      </c>
      <c r="E820" s="3">
        <f t="shared" ref="E820" si="127">ROUND(+D820*(1+E$1),-2)</f>
        <v>0</v>
      </c>
    </row>
    <row r="821" spans="1:5" x14ac:dyDescent="0.15">
      <c r="C821" s="202"/>
      <c r="D821" s="3"/>
      <c r="E821" s="3"/>
    </row>
    <row r="822" spans="1:5" ht="12" thickBot="1" x14ac:dyDescent="0.2">
      <c r="A822" s="1" t="s">
        <v>247</v>
      </c>
      <c r="B822" s="138">
        <f>SUM(B807:B821)</f>
        <v>10238133</v>
      </c>
      <c r="C822" s="203">
        <f>SUM(C807:C821)</f>
        <v>10732353.825300001</v>
      </c>
      <c r="D822" s="5">
        <f>SUM(D807:D821)</f>
        <v>11354900</v>
      </c>
      <c r="E822" s="5">
        <f>SUM(E807:E821)</f>
        <v>12013600</v>
      </c>
    </row>
    <row r="823" spans="1:5" ht="12" thickTop="1" x14ac:dyDescent="0.15">
      <c r="C823" s="202"/>
      <c r="D823" s="3"/>
      <c r="E823" s="3"/>
    </row>
    <row r="824" spans="1:5" x14ac:dyDescent="0.15">
      <c r="A824" s="6" t="s">
        <v>241</v>
      </c>
      <c r="C824" s="202"/>
      <c r="D824" s="3"/>
      <c r="E824" s="3"/>
    </row>
    <row r="825" spans="1:5" x14ac:dyDescent="0.15">
      <c r="A825" s="1"/>
      <c r="C825" s="202"/>
      <c r="D825" s="3"/>
      <c r="E825" s="3"/>
    </row>
    <row r="826" spans="1:5" x14ac:dyDescent="0.15">
      <c r="A826" s="1"/>
      <c r="C826" s="202"/>
      <c r="D826" s="3"/>
      <c r="E826" s="3"/>
    </row>
    <row r="827" spans="1:5" x14ac:dyDescent="0.15">
      <c r="A827" s="1" t="s">
        <v>310</v>
      </c>
      <c r="B827" s="126">
        <v>387746</v>
      </c>
      <c r="C827" s="202">
        <v>250000</v>
      </c>
      <c r="D827" s="3">
        <f t="shared" ref="D827:D839" si="128">ROUND(+C827*(1+D$1),-2)</f>
        <v>264500</v>
      </c>
      <c r="E827" s="3">
        <f t="shared" ref="E827:E830" si="129">ROUND(+D827*(1+E$1),-2)</f>
        <v>279800</v>
      </c>
    </row>
    <row r="828" spans="1:5" x14ac:dyDescent="0.15">
      <c r="A828" s="1" t="s">
        <v>129</v>
      </c>
      <c r="B828" s="126">
        <v>85000</v>
      </c>
      <c r="C828" s="202">
        <v>80000</v>
      </c>
      <c r="D828" s="3">
        <f t="shared" si="128"/>
        <v>84600</v>
      </c>
      <c r="E828" s="3">
        <f t="shared" si="129"/>
        <v>89500</v>
      </c>
    </row>
    <row r="829" spans="1:5" x14ac:dyDescent="0.15">
      <c r="A829" s="1" t="s">
        <v>260</v>
      </c>
      <c r="B829" s="126">
        <v>0</v>
      </c>
      <c r="C829" s="202">
        <f t="shared" ref="C829:C839" si="130">B829+B829*0.06</f>
        <v>0</v>
      </c>
      <c r="D829" s="3">
        <f t="shared" si="128"/>
        <v>0</v>
      </c>
      <c r="E829" s="3">
        <f t="shared" si="129"/>
        <v>0</v>
      </c>
    </row>
    <row r="830" spans="1:5" x14ac:dyDescent="0.15">
      <c r="A830" s="1" t="s">
        <v>339</v>
      </c>
      <c r="B830" s="126">
        <v>70495</v>
      </c>
      <c r="C830" s="202">
        <v>900000</v>
      </c>
      <c r="D830" s="3">
        <f t="shared" si="128"/>
        <v>952200</v>
      </c>
      <c r="E830" s="3">
        <f t="shared" si="129"/>
        <v>1007400</v>
      </c>
    </row>
    <row r="831" spans="1:5" x14ac:dyDescent="0.15">
      <c r="A831" s="1" t="s">
        <v>177</v>
      </c>
      <c r="B831" s="126">
        <v>18864</v>
      </c>
      <c r="C831" s="202">
        <v>0</v>
      </c>
      <c r="D831" s="3">
        <f t="shared" si="128"/>
        <v>0</v>
      </c>
      <c r="E831" s="3">
        <f t="shared" ref="E831:E839" si="131">ROUND(+D831*(1+E$1),-2)</f>
        <v>0</v>
      </c>
    </row>
    <row r="832" spans="1:5" x14ac:dyDescent="0.15">
      <c r="A832" s="1" t="s">
        <v>194</v>
      </c>
      <c r="B832" s="126">
        <v>0</v>
      </c>
      <c r="C832" s="202">
        <f t="shared" si="130"/>
        <v>0</v>
      </c>
      <c r="D832" s="3">
        <f t="shared" si="128"/>
        <v>0</v>
      </c>
      <c r="E832" s="3">
        <f t="shared" si="131"/>
        <v>0</v>
      </c>
    </row>
    <row r="833" spans="1:5" x14ac:dyDescent="0.15">
      <c r="A833" s="1" t="s">
        <v>255</v>
      </c>
      <c r="B833" s="126">
        <v>504000</v>
      </c>
      <c r="C833" s="202">
        <v>500000</v>
      </c>
      <c r="D833" s="3">
        <f t="shared" si="128"/>
        <v>529000</v>
      </c>
      <c r="E833" s="3">
        <f t="shared" si="131"/>
        <v>559700</v>
      </c>
    </row>
    <row r="834" spans="1:5" x14ac:dyDescent="0.15">
      <c r="A834" s="1" t="s">
        <v>195</v>
      </c>
      <c r="B834" s="126">
        <v>132677</v>
      </c>
      <c r="C834" s="202">
        <f t="shared" si="130"/>
        <v>140637.62</v>
      </c>
      <c r="D834" s="3">
        <f t="shared" si="128"/>
        <v>148800</v>
      </c>
      <c r="E834" s="3">
        <f t="shared" si="131"/>
        <v>157400</v>
      </c>
    </row>
    <row r="835" spans="1:5" x14ac:dyDescent="0.15">
      <c r="A835" s="1" t="s">
        <v>303</v>
      </c>
      <c r="B835" s="126">
        <v>0</v>
      </c>
      <c r="C835" s="202">
        <f t="shared" si="130"/>
        <v>0</v>
      </c>
      <c r="D835" s="3">
        <f t="shared" si="128"/>
        <v>0</v>
      </c>
      <c r="E835" s="3">
        <f t="shared" si="131"/>
        <v>0</v>
      </c>
    </row>
    <row r="836" spans="1:5" x14ac:dyDescent="0.15">
      <c r="A836" s="1" t="s">
        <v>191</v>
      </c>
      <c r="B836" s="126">
        <v>671558</v>
      </c>
      <c r="C836" s="202">
        <f t="shared" si="130"/>
        <v>711851.48</v>
      </c>
      <c r="D836" s="3">
        <f t="shared" si="128"/>
        <v>753100</v>
      </c>
      <c r="E836" s="3">
        <v>701500</v>
      </c>
    </row>
    <row r="837" spans="1:5" x14ac:dyDescent="0.15">
      <c r="A837" s="1" t="s">
        <v>309</v>
      </c>
      <c r="B837" s="126">
        <v>0</v>
      </c>
      <c r="C837" s="202">
        <f t="shared" si="130"/>
        <v>0</v>
      </c>
      <c r="D837" s="3">
        <f t="shared" si="128"/>
        <v>0</v>
      </c>
      <c r="E837" s="3">
        <v>0</v>
      </c>
    </row>
    <row r="838" spans="1:5" x14ac:dyDescent="0.15">
      <c r="A838" s="1" t="s">
        <v>491</v>
      </c>
      <c r="B838" s="126">
        <v>209600</v>
      </c>
      <c r="C838" s="202">
        <v>200000</v>
      </c>
      <c r="D838" s="3">
        <f t="shared" si="128"/>
        <v>211600</v>
      </c>
      <c r="E838" s="3">
        <f t="shared" ref="E838" si="132">ROUND(+D838*(1+E$1),-2)</f>
        <v>223900</v>
      </c>
    </row>
    <row r="839" spans="1:5" x14ac:dyDescent="0.15">
      <c r="A839" s="173" t="s">
        <v>350</v>
      </c>
      <c r="B839" s="126">
        <v>0</v>
      </c>
      <c r="C839" s="202">
        <f t="shared" si="130"/>
        <v>0</v>
      </c>
      <c r="D839" s="3">
        <f t="shared" si="128"/>
        <v>0</v>
      </c>
      <c r="E839" s="3">
        <f t="shared" si="131"/>
        <v>0</v>
      </c>
    </row>
    <row r="840" spans="1:5" ht="12" thickBot="1" x14ac:dyDescent="0.2">
      <c r="A840" s="1" t="s">
        <v>248</v>
      </c>
      <c r="B840" s="138">
        <f>SUM(B827:B839)</f>
        <v>2079940</v>
      </c>
      <c r="C840" s="203">
        <f>SUM(C827:C839)</f>
        <v>2782489.1</v>
      </c>
      <c r="D840" s="138">
        <f>SUM(D827:D839)</f>
        <v>2943800</v>
      </c>
      <c r="E840" s="138">
        <f>SUM(E827:E839)</f>
        <v>3019200</v>
      </c>
    </row>
    <row r="841" spans="1:5" ht="12" thickTop="1" x14ac:dyDescent="0.15">
      <c r="C841" s="202"/>
      <c r="D841" s="3"/>
      <c r="E841" s="3"/>
    </row>
    <row r="842" spans="1:5" x14ac:dyDescent="0.15">
      <c r="A842" s="6" t="s">
        <v>249</v>
      </c>
      <c r="C842" s="202"/>
      <c r="D842" s="3"/>
      <c r="E842" s="3"/>
    </row>
    <row r="843" spans="1:5" x14ac:dyDescent="0.15">
      <c r="A843" s="1"/>
      <c r="C843" s="202"/>
      <c r="D843" s="3"/>
      <c r="E843" s="3"/>
    </row>
    <row r="844" spans="1:5" x14ac:dyDescent="0.15">
      <c r="A844" s="1" t="s">
        <v>282</v>
      </c>
      <c r="B844" s="126">
        <v>0</v>
      </c>
      <c r="C844" s="202">
        <f t="shared" ref="C844:C846" si="133">B844+B844*0.06</f>
        <v>0</v>
      </c>
      <c r="D844" s="3">
        <f t="shared" ref="D844:D846" si="134">ROUND(+C844*(1+D$1),-2)</f>
        <v>0</v>
      </c>
      <c r="E844" s="3">
        <f t="shared" ref="E844:E846" si="135">ROUND(+D844*(1+E$1),-2)</f>
        <v>0</v>
      </c>
    </row>
    <row r="845" spans="1:5" x14ac:dyDescent="0.15">
      <c r="A845" s="1" t="s">
        <v>283</v>
      </c>
      <c r="B845" s="7">
        <v>1420</v>
      </c>
      <c r="C845" s="202">
        <v>0</v>
      </c>
      <c r="D845" s="3">
        <f t="shared" si="134"/>
        <v>0</v>
      </c>
      <c r="E845" s="3">
        <f t="shared" si="135"/>
        <v>0</v>
      </c>
    </row>
    <row r="846" spans="1:5" x14ac:dyDescent="0.15">
      <c r="A846" s="1" t="s">
        <v>285</v>
      </c>
      <c r="C846" s="202">
        <f t="shared" si="133"/>
        <v>0</v>
      </c>
      <c r="D846" s="3">
        <f t="shared" si="134"/>
        <v>0</v>
      </c>
      <c r="E846" s="3">
        <f t="shared" si="135"/>
        <v>0</v>
      </c>
    </row>
    <row r="847" spans="1:5" x14ac:dyDescent="0.15">
      <c r="C847" s="202"/>
      <c r="D847" s="3"/>
      <c r="E847" s="3"/>
    </row>
    <row r="848" spans="1:5" ht="12" thickBot="1" x14ac:dyDescent="0.2">
      <c r="A848" s="1" t="s">
        <v>250</v>
      </c>
      <c r="B848" s="138">
        <f>SUM(B844:B847)</f>
        <v>1420</v>
      </c>
      <c r="C848" s="203">
        <f>SUM(C844:C847)</f>
        <v>0</v>
      </c>
      <c r="D848" s="5">
        <f>SUM(D844:D847)</f>
        <v>0</v>
      </c>
      <c r="E848" s="5">
        <f>SUM(E844:E847)</f>
        <v>0</v>
      </c>
    </row>
    <row r="849" spans="1:5" ht="12" thickTop="1" x14ac:dyDescent="0.15">
      <c r="C849" s="202"/>
      <c r="D849" s="3"/>
      <c r="E849" s="3"/>
    </row>
    <row r="850" spans="1:5" x14ac:dyDescent="0.15">
      <c r="A850" s="6" t="s">
        <v>251</v>
      </c>
      <c r="C850" s="202"/>
      <c r="D850" s="3"/>
      <c r="E850" s="3"/>
    </row>
    <row r="851" spans="1:5" x14ac:dyDescent="0.15">
      <c r="A851" s="1"/>
      <c r="C851" s="202"/>
      <c r="D851" s="3"/>
      <c r="E851" s="3"/>
    </row>
    <row r="852" spans="1:5" x14ac:dyDescent="0.15">
      <c r="C852" s="202"/>
      <c r="D852" s="3"/>
      <c r="E852" s="3"/>
    </row>
    <row r="853" spans="1:5" ht="12" thickBot="1" x14ac:dyDescent="0.2">
      <c r="A853" s="1" t="s">
        <v>252</v>
      </c>
      <c r="B853" s="138">
        <f>B869</f>
        <v>35247</v>
      </c>
      <c r="C853" s="203">
        <f>C869</f>
        <v>0</v>
      </c>
      <c r="D853" s="5">
        <f>D869</f>
        <v>0</v>
      </c>
      <c r="E853" s="5">
        <f>E869</f>
        <v>0</v>
      </c>
    </row>
    <row r="854" spans="1:5" ht="12" thickTop="1" x14ac:dyDescent="0.15">
      <c r="C854" s="202"/>
      <c r="D854" s="3"/>
      <c r="E854" s="3"/>
    </row>
    <row r="855" spans="1:5" x14ac:dyDescent="0.15">
      <c r="C855" s="202"/>
      <c r="D855" s="3"/>
      <c r="E855" s="3"/>
    </row>
    <row r="856" spans="1:5" ht="12" thickBot="1" x14ac:dyDescent="0.2">
      <c r="A856" s="1" t="s">
        <v>157</v>
      </c>
      <c r="B856" s="138">
        <f>B853+B848+B840+B822</f>
        <v>12354740</v>
      </c>
      <c r="C856" s="203">
        <f>C853+C848+C840+C822</f>
        <v>13514842.9253</v>
      </c>
      <c r="D856" s="5">
        <f>D853+D848+D840+D822</f>
        <v>14298700</v>
      </c>
      <c r="E856" s="5">
        <f>E853+E848+E840+E822</f>
        <v>15032800</v>
      </c>
    </row>
    <row r="857" spans="1:5" ht="12" thickTop="1" x14ac:dyDescent="0.15">
      <c r="C857" s="202"/>
      <c r="D857" s="3"/>
      <c r="E857" s="3"/>
    </row>
    <row r="858" spans="1:5" x14ac:dyDescent="0.15">
      <c r="A858" s="6" t="s">
        <v>155</v>
      </c>
      <c r="C858" s="202"/>
      <c r="D858" s="3"/>
      <c r="E858" s="3"/>
    </row>
    <row r="859" spans="1:5" x14ac:dyDescent="0.15">
      <c r="A859" s="1"/>
      <c r="C859" s="202"/>
      <c r="D859" s="3"/>
      <c r="E859" s="3"/>
    </row>
    <row r="860" spans="1:5" x14ac:dyDescent="0.15">
      <c r="A860" s="1" t="s">
        <v>155</v>
      </c>
      <c r="C860" s="202">
        <f>B860</f>
        <v>0</v>
      </c>
      <c r="D860" s="3">
        <f>ROUND(+C860*(1+D$1),-2)</f>
        <v>0</v>
      </c>
      <c r="E860" s="3">
        <f>ROUND(+D860*(1+E$1),-2)</f>
        <v>0</v>
      </c>
    </row>
    <row r="861" spans="1:5" x14ac:dyDescent="0.15">
      <c r="C861" s="202"/>
      <c r="D861" s="3"/>
      <c r="E861" s="3"/>
    </row>
    <row r="862" spans="1:5" ht="12" thickBot="1" x14ac:dyDescent="0.2">
      <c r="A862" s="1" t="s">
        <v>156</v>
      </c>
      <c r="B862" s="10">
        <f>SUM(B860:B861)</f>
        <v>0</v>
      </c>
      <c r="C862" s="203">
        <f>SUM(C860:C861)</f>
        <v>0</v>
      </c>
      <c r="D862" s="5">
        <f>SUM(D860:D861)</f>
        <v>0</v>
      </c>
      <c r="E862" s="5">
        <f>SUM(E860:E861)</f>
        <v>0</v>
      </c>
    </row>
    <row r="863" spans="1:5" ht="12" thickTop="1" x14ac:dyDescent="0.15">
      <c r="C863" s="202"/>
      <c r="D863" s="3"/>
      <c r="E863" s="3"/>
    </row>
    <row r="864" spans="1:5" x14ac:dyDescent="0.15">
      <c r="A864" s="6" t="s">
        <v>251</v>
      </c>
      <c r="C864" s="202"/>
      <c r="D864" s="3"/>
      <c r="E864" s="3"/>
    </row>
    <row r="865" spans="1:5" x14ac:dyDescent="0.15">
      <c r="A865" s="1"/>
      <c r="C865" s="202"/>
      <c r="D865" s="3"/>
      <c r="E865" s="3"/>
    </row>
    <row r="866" spans="1:5" x14ac:dyDescent="0.15">
      <c r="A866" s="1" t="s">
        <v>288</v>
      </c>
      <c r="B866" s="126">
        <v>35247</v>
      </c>
      <c r="C866" s="202">
        <v>0</v>
      </c>
      <c r="D866" s="3">
        <f t="shared" ref="D866:D867" si="136">ROUND(+C866*(1+D$1),-2)</f>
        <v>0</v>
      </c>
      <c r="E866" s="3">
        <f t="shared" ref="E866:E867" si="137">ROUND(+D866*(1+E$1),-2)</f>
        <v>0</v>
      </c>
    </row>
    <row r="867" spans="1:5" x14ac:dyDescent="0.15">
      <c r="A867" s="1" t="s">
        <v>289</v>
      </c>
      <c r="C867" s="202">
        <f t="shared" ref="C867" si="138">B867+B867*0.06</f>
        <v>0</v>
      </c>
      <c r="D867" s="3">
        <f t="shared" si="136"/>
        <v>0</v>
      </c>
      <c r="E867" s="3">
        <f t="shared" si="137"/>
        <v>0</v>
      </c>
    </row>
    <row r="868" spans="1:5" x14ac:dyDescent="0.15">
      <c r="C868" s="202"/>
      <c r="D868" s="3"/>
      <c r="E868" s="3"/>
    </row>
    <row r="869" spans="1:5" ht="12" thickBot="1" x14ac:dyDescent="0.2">
      <c r="A869" s="1" t="s">
        <v>165</v>
      </c>
      <c r="B869" s="10">
        <f>SUM(B866:B868)</f>
        <v>35247</v>
      </c>
      <c r="C869" s="203">
        <f>SUM(C866:C868)</f>
        <v>0</v>
      </c>
      <c r="D869" s="5">
        <f>SUM(D866:D868)</f>
        <v>0</v>
      </c>
      <c r="E869" s="5">
        <f>SUM(E866:E868)</f>
        <v>0</v>
      </c>
    </row>
    <row r="870" spans="1:5" ht="12" thickTop="1" x14ac:dyDescent="0.15">
      <c r="B870" s="156"/>
      <c r="C870" s="206"/>
      <c r="D870" s="3"/>
      <c r="E870" s="3"/>
    </row>
    <row r="871" spans="1:5" x14ac:dyDescent="0.15">
      <c r="A871" s="1"/>
      <c r="B871" s="156" t="str">
        <f t="shared" ref="B871:D872" si="139">B8</f>
        <v>Budget</v>
      </c>
      <c r="C871" s="206" t="str">
        <f t="shared" si="139"/>
        <v>Budget</v>
      </c>
      <c r="D871" s="157" t="str">
        <f t="shared" si="139"/>
        <v>Budget</v>
      </c>
      <c r="E871" s="157" t="s">
        <v>245</v>
      </c>
    </row>
    <row r="872" spans="1:5" x14ac:dyDescent="0.15">
      <c r="B872" s="156" t="str">
        <f t="shared" si="139"/>
        <v>2015/2016</v>
      </c>
      <c r="C872" s="206" t="str">
        <f t="shared" si="139"/>
        <v>2016/2017</v>
      </c>
      <c r="D872" s="157" t="str">
        <f t="shared" si="139"/>
        <v>2017/2018</v>
      </c>
      <c r="E872" s="160" t="str">
        <f>E9</f>
        <v>2018/2019</v>
      </c>
    </row>
    <row r="873" spans="1:5" x14ac:dyDescent="0.15">
      <c r="A873" s="1"/>
      <c r="C873" s="202"/>
      <c r="D873" s="3"/>
      <c r="E873" s="3"/>
    </row>
    <row r="874" spans="1:5" ht="16" x14ac:dyDescent="0.2">
      <c r="A874" s="14" t="s">
        <v>19</v>
      </c>
      <c r="C874" s="202"/>
      <c r="D874" s="3"/>
      <c r="E874" s="3"/>
    </row>
    <row r="875" spans="1:5" x14ac:dyDescent="0.15">
      <c r="A875" s="1"/>
      <c r="C875" s="202"/>
      <c r="D875" s="3"/>
      <c r="E875" s="3"/>
    </row>
    <row r="876" spans="1:5" x14ac:dyDescent="0.15">
      <c r="A876" s="6" t="s">
        <v>246</v>
      </c>
      <c r="C876" s="202"/>
      <c r="D876" s="3"/>
      <c r="E876" s="3"/>
    </row>
    <row r="877" spans="1:5" x14ac:dyDescent="0.15">
      <c r="A877" s="1"/>
      <c r="C877" s="202"/>
      <c r="D877" s="3"/>
      <c r="E877" s="3"/>
    </row>
    <row r="878" spans="1:5" x14ac:dyDescent="0.15">
      <c r="A878" s="1" t="s">
        <v>197</v>
      </c>
      <c r="B878" s="126">
        <v>3867562</v>
      </c>
      <c r="C878" s="202">
        <f>REMUNERATION!F201</f>
        <v>4090080.35</v>
      </c>
      <c r="D878" s="3">
        <f t="shared" ref="D878:D890" si="140">ROUND(+C878*(1+D$1),-2)</f>
        <v>4327300</v>
      </c>
      <c r="E878" s="3">
        <f t="shared" ref="E878:E890" si="141">ROUND(+D878*(1+E$1),-2)</f>
        <v>4578300</v>
      </c>
    </row>
    <row r="879" spans="1:5" x14ac:dyDescent="0.15">
      <c r="A879" s="1" t="s">
        <v>231</v>
      </c>
      <c r="B879" s="126">
        <v>368067</v>
      </c>
      <c r="C879" s="202">
        <f>REMUNERATION!N201</f>
        <v>392757.44209999993</v>
      </c>
      <c r="D879" s="3">
        <f t="shared" si="140"/>
        <v>415500</v>
      </c>
      <c r="E879" s="3">
        <f t="shared" si="141"/>
        <v>439600</v>
      </c>
    </row>
    <row r="880" spans="1:5" x14ac:dyDescent="0.15">
      <c r="A880" s="1" t="s">
        <v>193</v>
      </c>
      <c r="B880" s="126">
        <v>30000</v>
      </c>
      <c r="C880" s="202">
        <f>REMUNERATION!E199</f>
        <v>30000</v>
      </c>
      <c r="D880" s="3">
        <f t="shared" si="140"/>
        <v>31700</v>
      </c>
      <c r="E880" s="3">
        <f t="shared" si="141"/>
        <v>33500</v>
      </c>
    </row>
    <row r="881" spans="1:5" x14ac:dyDescent="0.15">
      <c r="A881" s="1" t="s">
        <v>198</v>
      </c>
      <c r="B881" s="126">
        <v>65856</v>
      </c>
      <c r="C881" s="202">
        <f>REMUNERATION!I201</f>
        <v>67200</v>
      </c>
      <c r="D881" s="3">
        <f t="shared" si="140"/>
        <v>71100</v>
      </c>
      <c r="E881" s="3">
        <f t="shared" si="141"/>
        <v>75200</v>
      </c>
    </row>
    <row r="882" spans="1:5" x14ac:dyDescent="0.15">
      <c r="A882" s="1" t="s">
        <v>199</v>
      </c>
      <c r="B882" s="126">
        <v>391560</v>
      </c>
      <c r="C882" s="202">
        <f>REMUNERATION!H201</f>
        <v>390528.60000000003</v>
      </c>
      <c r="D882" s="3">
        <f t="shared" si="140"/>
        <v>413200</v>
      </c>
      <c r="E882" s="3">
        <f t="shared" si="141"/>
        <v>437200</v>
      </c>
    </row>
    <row r="883" spans="1:5" x14ac:dyDescent="0.15">
      <c r="A883" s="1" t="s">
        <v>200</v>
      </c>
      <c r="B883" s="126">
        <v>63200</v>
      </c>
      <c r="C883" s="202">
        <f>REMUNERATION!E200</f>
        <v>63200</v>
      </c>
      <c r="D883" s="3">
        <f t="shared" si="140"/>
        <v>66900</v>
      </c>
      <c r="E883" s="3">
        <f t="shared" ref="E883" si="142">ROUND(+D883*(1+E$1),-2)</f>
        <v>70800</v>
      </c>
    </row>
    <row r="884" spans="1:5" x14ac:dyDescent="0.15">
      <c r="A884" s="1" t="s">
        <v>169</v>
      </c>
      <c r="B884" s="126">
        <v>784627</v>
      </c>
      <c r="C884" s="202">
        <f>REMUNERATION!G201</f>
        <v>809716.6712000001</v>
      </c>
      <c r="D884" s="3">
        <f t="shared" si="140"/>
        <v>856700</v>
      </c>
      <c r="E884" s="3">
        <f t="shared" si="141"/>
        <v>906400</v>
      </c>
    </row>
    <row r="885" spans="1:5" x14ac:dyDescent="0.15">
      <c r="A885" s="1" t="s">
        <v>201</v>
      </c>
      <c r="B885" s="126">
        <v>1001880</v>
      </c>
      <c r="C885" s="202">
        <f>REMUNERATION!K201</f>
        <v>1250880</v>
      </c>
      <c r="D885" s="3">
        <f t="shared" si="140"/>
        <v>1323400</v>
      </c>
      <c r="E885" s="3">
        <f t="shared" si="141"/>
        <v>1400200</v>
      </c>
    </row>
    <row r="886" spans="1:5" x14ac:dyDescent="0.15">
      <c r="A886" s="1" t="s">
        <v>313</v>
      </c>
      <c r="B886" s="126">
        <v>0</v>
      </c>
      <c r="C886" s="202">
        <v>0</v>
      </c>
      <c r="D886" s="3">
        <f t="shared" si="140"/>
        <v>0</v>
      </c>
      <c r="E886" s="3">
        <f t="shared" ref="E886" si="143">ROUND(+D886*(1+E$1),-2)</f>
        <v>0</v>
      </c>
    </row>
    <row r="887" spans="1:5" x14ac:dyDescent="0.15">
      <c r="A887" s="1" t="s">
        <v>4</v>
      </c>
      <c r="B887" s="126">
        <v>0</v>
      </c>
      <c r="C887" s="202">
        <v>0</v>
      </c>
      <c r="D887" s="3">
        <f t="shared" si="140"/>
        <v>0</v>
      </c>
      <c r="E887" s="3">
        <f t="shared" ref="E887" si="144">ROUND(+D887*(1+E$1),-2)</f>
        <v>0</v>
      </c>
    </row>
    <row r="888" spans="1:5" x14ac:dyDescent="0.15">
      <c r="A888" s="1" t="s">
        <v>202</v>
      </c>
      <c r="B888" s="126">
        <v>12800</v>
      </c>
      <c r="C888" s="202">
        <v>42800</v>
      </c>
      <c r="D888" s="3">
        <f t="shared" si="140"/>
        <v>45300</v>
      </c>
      <c r="E888" s="3">
        <f t="shared" si="141"/>
        <v>47900</v>
      </c>
    </row>
    <row r="889" spans="1:5" x14ac:dyDescent="0.15">
      <c r="A889" s="1" t="s">
        <v>203</v>
      </c>
      <c r="B889" s="126">
        <v>41786</v>
      </c>
      <c r="C889" s="202">
        <v>41786</v>
      </c>
      <c r="D889" s="3">
        <f t="shared" si="140"/>
        <v>44200</v>
      </c>
      <c r="E889" s="3">
        <f t="shared" si="141"/>
        <v>46800</v>
      </c>
    </row>
    <row r="890" spans="1:5" x14ac:dyDescent="0.15">
      <c r="A890" s="1" t="s">
        <v>204</v>
      </c>
      <c r="B890" s="126">
        <v>450</v>
      </c>
      <c r="C890" s="202">
        <f>REMUNERATION!L201</f>
        <v>837</v>
      </c>
      <c r="D890" s="3">
        <f t="shared" si="140"/>
        <v>900</v>
      </c>
      <c r="E890" s="3">
        <f t="shared" si="141"/>
        <v>1000</v>
      </c>
    </row>
    <row r="891" spans="1:5" x14ac:dyDescent="0.15">
      <c r="A891" s="2" t="s">
        <v>316</v>
      </c>
      <c r="C891" s="202"/>
      <c r="D891" s="3"/>
      <c r="E891" s="3"/>
    </row>
    <row r="892" spans="1:5" ht="12" thickBot="1" x14ac:dyDescent="0.2">
      <c r="A892" s="1" t="s">
        <v>247</v>
      </c>
      <c r="B892" s="138">
        <f>SUM(B878:B891)</f>
        <v>6627788</v>
      </c>
      <c r="C892" s="203">
        <f>SUM(C878:C891)</f>
        <v>7179786.0632999996</v>
      </c>
      <c r="D892" s="5">
        <f>SUM(D878:D891)</f>
        <v>7596200</v>
      </c>
      <c r="E892" s="5">
        <f>SUM(E878:E891)</f>
        <v>8036900</v>
      </c>
    </row>
    <row r="893" spans="1:5" ht="12" thickTop="1" x14ac:dyDescent="0.15">
      <c r="C893" s="202"/>
      <c r="D893" s="3"/>
      <c r="E893" s="3"/>
    </row>
    <row r="894" spans="1:5" x14ac:dyDescent="0.15">
      <c r="A894" s="6" t="s">
        <v>241</v>
      </c>
      <c r="C894" s="202"/>
      <c r="D894" s="3"/>
      <c r="E894" s="3"/>
    </row>
    <row r="895" spans="1:5" x14ac:dyDescent="0.15">
      <c r="A895" s="1"/>
      <c r="C895" s="202"/>
      <c r="D895" s="3"/>
      <c r="E895" s="3"/>
    </row>
    <row r="896" spans="1:5" x14ac:dyDescent="0.15">
      <c r="A896" s="1" t="s">
        <v>312</v>
      </c>
      <c r="B896" s="126">
        <v>211600</v>
      </c>
      <c r="C896" s="202">
        <v>200000</v>
      </c>
      <c r="D896" s="3">
        <f t="shared" ref="D896:D906" si="145">ROUND(+C896*(1+D$1),-2)</f>
        <v>211600</v>
      </c>
      <c r="E896" s="3">
        <f t="shared" ref="E896:E898" si="146">ROUND(+D896*(1+E$1),-2)</f>
        <v>223900</v>
      </c>
    </row>
    <row r="897" spans="1:5" x14ac:dyDescent="0.15">
      <c r="A897" s="1" t="s">
        <v>0</v>
      </c>
      <c r="B897" s="126">
        <v>1058000</v>
      </c>
      <c r="C897" s="202">
        <v>1500000</v>
      </c>
      <c r="D897" s="3">
        <f t="shared" si="145"/>
        <v>1587000</v>
      </c>
      <c r="E897" s="3">
        <f t="shared" si="146"/>
        <v>1679000</v>
      </c>
    </row>
    <row r="898" spans="1:5" x14ac:dyDescent="0.15">
      <c r="A898" s="1" t="s">
        <v>427</v>
      </c>
      <c r="B898" s="126">
        <v>1320000</v>
      </c>
      <c r="C898" s="202">
        <v>1600000</v>
      </c>
      <c r="D898" s="3">
        <f t="shared" si="145"/>
        <v>1692800</v>
      </c>
      <c r="E898" s="3">
        <f t="shared" si="146"/>
        <v>1791000</v>
      </c>
    </row>
    <row r="899" spans="1:5" x14ac:dyDescent="0.15">
      <c r="A899" s="1" t="s">
        <v>429</v>
      </c>
      <c r="B899" s="126">
        <v>1300000</v>
      </c>
      <c r="C899" s="202">
        <v>1200000</v>
      </c>
      <c r="D899" s="3">
        <f t="shared" si="145"/>
        <v>1269600</v>
      </c>
      <c r="E899" s="3">
        <f t="shared" ref="E899" si="147">ROUND(+D899*(1+E$1),-2)</f>
        <v>1343200</v>
      </c>
    </row>
    <row r="900" spans="1:5" x14ac:dyDescent="0.15">
      <c r="A900" s="1" t="s">
        <v>430</v>
      </c>
      <c r="B900" s="126">
        <v>78133</v>
      </c>
      <c r="C900" s="202">
        <f t="shared" ref="C900:C905" si="148">B900+B900*0.06</f>
        <v>82820.98</v>
      </c>
      <c r="D900" s="3">
        <f t="shared" si="145"/>
        <v>87600</v>
      </c>
      <c r="E900" s="3">
        <f t="shared" ref="E900" si="149">ROUND(+D900*(1+E$1),-2)</f>
        <v>92700</v>
      </c>
    </row>
    <row r="901" spans="1:5" x14ac:dyDescent="0.15">
      <c r="A901" s="1" t="s">
        <v>177</v>
      </c>
      <c r="B901" s="126">
        <v>20960</v>
      </c>
      <c r="C901" s="202">
        <v>0</v>
      </c>
      <c r="D901" s="3">
        <f t="shared" si="145"/>
        <v>0</v>
      </c>
      <c r="E901" s="3">
        <f t="shared" ref="E901:E905" si="150">ROUND(+D901*(1+E$1),-2)</f>
        <v>0</v>
      </c>
    </row>
    <row r="902" spans="1:5" x14ac:dyDescent="0.15">
      <c r="A902" s="1" t="s">
        <v>195</v>
      </c>
      <c r="B902" s="126">
        <v>91386</v>
      </c>
      <c r="C902" s="202">
        <f t="shared" si="148"/>
        <v>96869.16</v>
      </c>
      <c r="D902" s="3">
        <f t="shared" si="145"/>
        <v>102500</v>
      </c>
      <c r="E902" s="3">
        <f t="shared" si="150"/>
        <v>108400</v>
      </c>
    </row>
    <row r="903" spans="1:5" x14ac:dyDescent="0.15">
      <c r="A903" s="1" t="s">
        <v>560</v>
      </c>
      <c r="B903" s="126">
        <v>200000</v>
      </c>
      <c r="C903" s="202">
        <v>200000</v>
      </c>
      <c r="D903" s="3">
        <f t="shared" si="145"/>
        <v>211600</v>
      </c>
      <c r="E903" s="3">
        <f t="shared" si="150"/>
        <v>223900</v>
      </c>
    </row>
    <row r="904" spans="1:5" x14ac:dyDescent="0.15">
      <c r="A904" s="1" t="s">
        <v>428</v>
      </c>
      <c r="B904" s="126">
        <v>3800000</v>
      </c>
      <c r="C904" s="202">
        <v>4200000</v>
      </c>
      <c r="D904" s="3">
        <f t="shared" si="145"/>
        <v>4443600</v>
      </c>
      <c r="E904" s="3">
        <f t="shared" si="150"/>
        <v>4701300</v>
      </c>
    </row>
    <row r="905" spans="1:5" x14ac:dyDescent="0.15">
      <c r="A905" s="1" t="s">
        <v>303</v>
      </c>
      <c r="B905" s="126">
        <v>0</v>
      </c>
      <c r="C905" s="202">
        <f t="shared" si="148"/>
        <v>0</v>
      </c>
      <c r="D905" s="3">
        <f t="shared" si="145"/>
        <v>0</v>
      </c>
      <c r="E905" s="3">
        <f t="shared" si="150"/>
        <v>0</v>
      </c>
    </row>
    <row r="906" spans="1:5" x14ac:dyDescent="0.15">
      <c r="A906" s="1" t="s">
        <v>191</v>
      </c>
      <c r="B906" s="126">
        <v>500000</v>
      </c>
      <c r="C906" s="202">
        <v>300000</v>
      </c>
      <c r="D906" s="3">
        <f t="shared" si="145"/>
        <v>317400</v>
      </c>
      <c r="E906" s="3">
        <v>591200</v>
      </c>
    </row>
    <row r="907" spans="1:5" ht="12" thickBot="1" x14ac:dyDescent="0.2">
      <c r="A907" s="1" t="s">
        <v>248</v>
      </c>
      <c r="B907" s="138">
        <f>SUM(B896:B906)</f>
        <v>8580079</v>
      </c>
      <c r="C907" s="203">
        <f>SUM(C896:C906)</f>
        <v>9379690.1400000006</v>
      </c>
      <c r="D907" s="5">
        <f>SUM(D896:D906)</f>
        <v>9923700</v>
      </c>
      <c r="E907" s="5">
        <f>SUM(E896:E906)</f>
        <v>10754600</v>
      </c>
    </row>
    <row r="908" spans="1:5" ht="12" thickTop="1" x14ac:dyDescent="0.15">
      <c r="C908" s="202"/>
      <c r="D908" s="3"/>
      <c r="E908" s="3"/>
    </row>
    <row r="909" spans="1:5" x14ac:dyDescent="0.15">
      <c r="A909" s="6" t="s">
        <v>249</v>
      </c>
      <c r="C909" s="202"/>
      <c r="D909" s="3"/>
      <c r="E909" s="3"/>
    </row>
    <row r="910" spans="1:5" x14ac:dyDescent="0.15">
      <c r="A910" s="1"/>
      <c r="C910" s="202"/>
      <c r="D910" s="3"/>
      <c r="E910" s="3"/>
    </row>
    <row r="911" spans="1:5" x14ac:dyDescent="0.15">
      <c r="A911" s="1" t="s">
        <v>282</v>
      </c>
      <c r="B911" s="126">
        <v>10480</v>
      </c>
      <c r="C911" s="202">
        <v>0</v>
      </c>
      <c r="D911" s="3">
        <f t="shared" ref="D911:D912" si="151">ROUND(+C911*(1+D$1),-2)</f>
        <v>0</v>
      </c>
      <c r="E911" s="3">
        <f t="shared" ref="E911:E912" si="152">ROUND(+D911*(1+E$1),-2)</f>
        <v>0</v>
      </c>
    </row>
    <row r="912" spans="1:5" x14ac:dyDescent="0.15">
      <c r="A912" s="1" t="s">
        <v>283</v>
      </c>
      <c r="B912" s="126">
        <v>10480</v>
      </c>
      <c r="C912" s="202">
        <v>0</v>
      </c>
      <c r="D912" s="3">
        <f t="shared" si="151"/>
        <v>0</v>
      </c>
      <c r="E912" s="3">
        <f t="shared" si="152"/>
        <v>0</v>
      </c>
    </row>
    <row r="913" spans="1:5" x14ac:dyDescent="0.15">
      <c r="C913" s="202"/>
      <c r="D913" s="3"/>
      <c r="E913" s="3"/>
    </row>
    <row r="914" spans="1:5" ht="12" thickBot="1" x14ac:dyDescent="0.2">
      <c r="A914" s="1" t="s">
        <v>250</v>
      </c>
      <c r="B914" s="138">
        <f>SUM(B911:B913)</f>
        <v>20960</v>
      </c>
      <c r="C914" s="203">
        <f>SUM(C911:C913)</f>
        <v>0</v>
      </c>
      <c r="D914" s="5">
        <f>SUM(D911:D913)</f>
        <v>0</v>
      </c>
      <c r="E914" s="5">
        <f>SUM(E911:E913)</f>
        <v>0</v>
      </c>
    </row>
    <row r="915" spans="1:5" ht="12" thickTop="1" x14ac:dyDescent="0.15">
      <c r="C915" s="202"/>
      <c r="D915" s="3"/>
      <c r="E915" s="3"/>
    </row>
    <row r="916" spans="1:5" x14ac:dyDescent="0.15">
      <c r="A916" s="6" t="s">
        <v>251</v>
      </c>
      <c r="C916" s="202"/>
      <c r="D916" s="3"/>
      <c r="E916" s="3"/>
    </row>
    <row r="917" spans="1:5" x14ac:dyDescent="0.15">
      <c r="A917" s="1"/>
      <c r="C917" s="202"/>
      <c r="D917" s="3"/>
      <c r="E917" s="3"/>
    </row>
    <row r="918" spans="1:5" x14ac:dyDescent="0.15">
      <c r="C918" s="202"/>
      <c r="D918" s="3"/>
      <c r="E918" s="3"/>
    </row>
    <row r="919" spans="1:5" ht="12" thickBot="1" x14ac:dyDescent="0.2">
      <c r="A919" s="1" t="s">
        <v>252</v>
      </c>
      <c r="B919" s="10">
        <f>B930</f>
        <v>43361</v>
      </c>
      <c r="C919" s="203">
        <f>C930</f>
        <v>0</v>
      </c>
      <c r="D919" s="5">
        <f>D930</f>
        <v>0</v>
      </c>
      <c r="E919" s="5">
        <f>E930</f>
        <v>0</v>
      </c>
    </row>
    <row r="920" spans="1:5" ht="12" thickTop="1" x14ac:dyDescent="0.15">
      <c r="C920" s="202"/>
      <c r="D920" s="3"/>
      <c r="E920" s="3"/>
    </row>
    <row r="921" spans="1:5" x14ac:dyDescent="0.15">
      <c r="C921" s="202"/>
      <c r="D921" s="3"/>
      <c r="E921" s="3"/>
    </row>
    <row r="922" spans="1:5" ht="12" thickBot="1" x14ac:dyDescent="0.2">
      <c r="A922" s="1" t="s">
        <v>297</v>
      </c>
      <c r="B922" s="138">
        <f>B919+B914+B907+B892</f>
        <v>15272188</v>
      </c>
      <c r="C922" s="203">
        <f>C919+C914+C907+C892</f>
        <v>16559476.203299999</v>
      </c>
      <c r="D922" s="5">
        <f>D919+D914+D907+D892</f>
        <v>17519900</v>
      </c>
      <c r="E922" s="5">
        <f>E919+E914+E907+E892</f>
        <v>18791500</v>
      </c>
    </row>
    <row r="923" spans="1:5" ht="12" thickTop="1" x14ac:dyDescent="0.15">
      <c r="C923" s="202"/>
      <c r="D923" s="3"/>
      <c r="E923" s="3"/>
    </row>
    <row r="924" spans="1:5" x14ac:dyDescent="0.15">
      <c r="A924" s="6" t="s">
        <v>251</v>
      </c>
      <c r="C924" s="202"/>
      <c r="D924" s="3"/>
      <c r="E924" s="3"/>
    </row>
    <row r="925" spans="1:5" x14ac:dyDescent="0.15">
      <c r="A925" s="1"/>
      <c r="C925" s="202"/>
      <c r="D925" s="3"/>
      <c r="E925" s="3"/>
    </row>
    <row r="926" spans="1:5" x14ac:dyDescent="0.15">
      <c r="A926" s="1" t="s">
        <v>288</v>
      </c>
      <c r="B926" s="7">
        <v>27641</v>
      </c>
      <c r="C926" s="202">
        <v>0</v>
      </c>
      <c r="D926" s="3">
        <f t="shared" ref="D926:D928" si="153">ROUND(+C926*(1+D$1),-2)</f>
        <v>0</v>
      </c>
      <c r="E926" s="3">
        <f t="shared" ref="E926:E928" si="154">ROUND(+D926*(1+E$1),-2)</f>
        <v>0</v>
      </c>
    </row>
    <row r="927" spans="1:5" x14ac:dyDescent="0.15">
      <c r="A927" s="1" t="s">
        <v>289</v>
      </c>
      <c r="B927" s="7">
        <v>15720</v>
      </c>
      <c r="C927" s="202">
        <v>0</v>
      </c>
      <c r="D927" s="3">
        <f t="shared" si="153"/>
        <v>0</v>
      </c>
      <c r="E927" s="3">
        <f t="shared" si="154"/>
        <v>0</v>
      </c>
    </row>
    <row r="928" spans="1:5" x14ac:dyDescent="0.15">
      <c r="A928" s="1" t="s">
        <v>290</v>
      </c>
      <c r="C928" s="202">
        <f t="shared" ref="C928" si="155">B928+B928*0.06</f>
        <v>0</v>
      </c>
      <c r="D928" s="3">
        <f t="shared" si="153"/>
        <v>0</v>
      </c>
      <c r="E928" s="3">
        <f t="shared" si="154"/>
        <v>0</v>
      </c>
    </row>
    <row r="929" spans="1:7" x14ac:dyDescent="0.15">
      <c r="C929" s="202"/>
      <c r="D929" s="3"/>
      <c r="E929" s="3"/>
    </row>
    <row r="930" spans="1:7" ht="12" thickBot="1" x14ac:dyDescent="0.2">
      <c r="A930" s="1" t="s">
        <v>165</v>
      </c>
      <c r="B930" s="10">
        <f>SUM(B926:B929)</f>
        <v>43361</v>
      </c>
      <c r="C930" s="203">
        <f>SUM(C926:C929)</f>
        <v>0</v>
      </c>
      <c r="D930" s="5">
        <f>SUM(D926:D929)</f>
        <v>0</v>
      </c>
      <c r="E930" s="5">
        <f>SUM(E926:E929)</f>
        <v>0</v>
      </c>
      <c r="G930" s="19"/>
    </row>
    <row r="931" spans="1:7" ht="12" thickTop="1" x14ac:dyDescent="0.15">
      <c r="C931" s="202"/>
      <c r="D931" s="3"/>
      <c r="E931" s="3"/>
    </row>
    <row r="932" spans="1:7" x14ac:dyDescent="0.15">
      <c r="B932" s="156"/>
      <c r="C932" s="206"/>
      <c r="D932" s="3"/>
      <c r="E932" s="3"/>
    </row>
    <row r="933" spans="1:7" x14ac:dyDescent="0.15">
      <c r="A933" s="1"/>
      <c r="B933" s="156" t="s">
        <v>245</v>
      </c>
      <c r="C933" s="206" t="s">
        <v>245</v>
      </c>
      <c r="D933" s="156" t="s">
        <v>245</v>
      </c>
      <c r="E933" s="156" t="s">
        <v>245</v>
      </c>
    </row>
    <row r="934" spans="1:7" x14ac:dyDescent="0.15">
      <c r="B934" s="162" t="str">
        <f>B9</f>
        <v>2015/2016</v>
      </c>
      <c r="C934" s="209" t="str">
        <f>C9</f>
        <v>2016/2017</v>
      </c>
      <c r="D934" s="162" t="str">
        <f>D9</f>
        <v>2017/2018</v>
      </c>
      <c r="E934" s="162" t="str">
        <f>E9</f>
        <v>2018/2019</v>
      </c>
    </row>
    <row r="935" spans="1:7" ht="16" x14ac:dyDescent="0.2">
      <c r="A935" s="14" t="s">
        <v>266</v>
      </c>
      <c r="C935" s="202"/>
      <c r="D935" s="3"/>
      <c r="E935" s="3"/>
    </row>
    <row r="936" spans="1:7" x14ac:dyDescent="0.15">
      <c r="A936" s="1"/>
      <c r="C936" s="202"/>
      <c r="D936" s="3"/>
      <c r="E936" s="3"/>
    </row>
    <row r="937" spans="1:7" x14ac:dyDescent="0.15">
      <c r="A937" s="6" t="s">
        <v>246</v>
      </c>
      <c r="C937" s="202"/>
      <c r="D937" s="3"/>
      <c r="E937" s="3"/>
    </row>
    <row r="938" spans="1:7" x14ac:dyDescent="0.15">
      <c r="A938" s="1"/>
      <c r="C938" s="202"/>
      <c r="D938" s="3"/>
      <c r="E938" s="3"/>
    </row>
    <row r="939" spans="1:7" x14ac:dyDescent="0.15">
      <c r="A939" s="1" t="s">
        <v>197</v>
      </c>
      <c r="B939" s="126">
        <v>1173918</v>
      </c>
      <c r="C939" s="202">
        <f>REMUNERATION!F211</f>
        <v>1217670.7</v>
      </c>
      <c r="D939" s="3">
        <f t="shared" ref="D939:D948" si="156">ROUND(+C939*(1+D$1),-2)</f>
        <v>1288300</v>
      </c>
      <c r="E939" s="3">
        <f t="shared" ref="E939:E941" si="157">ROUND(+D939*(1+E$1),-2)</f>
        <v>1363000</v>
      </c>
    </row>
    <row r="940" spans="1:7" x14ac:dyDescent="0.15">
      <c r="A940" s="1" t="s">
        <v>231</v>
      </c>
      <c r="B940" s="126">
        <v>97826</v>
      </c>
      <c r="C940" s="202">
        <f>REMUNERATION!N211</f>
        <v>101472.55833333335</v>
      </c>
      <c r="D940" s="3">
        <f t="shared" si="156"/>
        <v>107400</v>
      </c>
      <c r="E940" s="3">
        <f t="shared" si="157"/>
        <v>113600</v>
      </c>
    </row>
    <row r="941" spans="1:7" x14ac:dyDescent="0.15">
      <c r="A941" s="1" t="s">
        <v>193</v>
      </c>
      <c r="B941" s="126">
        <v>0</v>
      </c>
      <c r="C941" s="202">
        <v>0</v>
      </c>
      <c r="D941" s="3">
        <f t="shared" si="156"/>
        <v>0</v>
      </c>
      <c r="E941" s="3">
        <f t="shared" si="157"/>
        <v>0</v>
      </c>
    </row>
    <row r="942" spans="1:7" x14ac:dyDescent="0.15">
      <c r="A942" s="1" t="s">
        <v>198</v>
      </c>
      <c r="B942" s="126">
        <v>24696</v>
      </c>
      <c r="C942" s="202">
        <f>REMUNERATION!I211</f>
        <v>25200</v>
      </c>
      <c r="D942" s="3">
        <f t="shared" si="156"/>
        <v>26700</v>
      </c>
      <c r="E942" s="3">
        <f t="shared" ref="E942:E948" si="158">ROUND(+D942*(1+E$1),-2)</f>
        <v>28200</v>
      </c>
    </row>
    <row r="943" spans="1:7" x14ac:dyDescent="0.15">
      <c r="A943" s="1" t="s">
        <v>199</v>
      </c>
      <c r="B943" s="126">
        <v>130520</v>
      </c>
      <c r="C943" s="202">
        <f>REMUNERATION!H211</f>
        <v>129311.64000000001</v>
      </c>
      <c r="D943" s="3">
        <f t="shared" si="156"/>
        <v>136800</v>
      </c>
      <c r="E943" s="3">
        <f t="shared" si="158"/>
        <v>144700</v>
      </c>
    </row>
    <row r="944" spans="1:7" x14ac:dyDescent="0.15">
      <c r="A944" s="1" t="s">
        <v>169</v>
      </c>
      <c r="B944" s="126">
        <v>258262</v>
      </c>
      <c r="C944" s="202">
        <f>REMUNERATION!G211</f>
        <v>267887.554</v>
      </c>
      <c r="D944" s="3">
        <f t="shared" si="156"/>
        <v>283400</v>
      </c>
      <c r="E944" s="3">
        <f t="shared" si="158"/>
        <v>299800</v>
      </c>
    </row>
    <row r="945" spans="1:5" x14ac:dyDescent="0.15">
      <c r="A945" s="1" t="s">
        <v>201</v>
      </c>
      <c r="B945" s="126">
        <v>347040</v>
      </c>
      <c r="C945" s="202">
        <f>REMUNERATION!K211</f>
        <v>357840</v>
      </c>
      <c r="D945" s="3">
        <f t="shared" si="156"/>
        <v>378600</v>
      </c>
      <c r="E945" s="3">
        <f t="shared" si="158"/>
        <v>400600</v>
      </c>
    </row>
    <row r="946" spans="1:5" x14ac:dyDescent="0.15">
      <c r="A946" s="1" t="s">
        <v>202</v>
      </c>
      <c r="B946" s="126">
        <v>4800</v>
      </c>
      <c r="C946" s="202">
        <f>REMUNERATION!J211</f>
        <v>5778</v>
      </c>
      <c r="D946" s="3">
        <f t="shared" si="156"/>
        <v>6100</v>
      </c>
      <c r="E946" s="3">
        <f t="shared" si="158"/>
        <v>6500</v>
      </c>
    </row>
    <row r="947" spans="1:5" x14ac:dyDescent="0.15">
      <c r="A947" s="1" t="s">
        <v>203</v>
      </c>
      <c r="B947" s="126">
        <v>13310</v>
      </c>
      <c r="C947" s="202">
        <f>REMUNERATION!M211</f>
        <v>13745.305316666667</v>
      </c>
      <c r="D947" s="3">
        <f t="shared" si="156"/>
        <v>14500</v>
      </c>
      <c r="E947" s="3">
        <f t="shared" si="158"/>
        <v>15300</v>
      </c>
    </row>
    <row r="948" spans="1:5" x14ac:dyDescent="0.15">
      <c r="A948" s="8" t="s">
        <v>204</v>
      </c>
      <c r="B948" s="126">
        <v>300</v>
      </c>
      <c r="C948" s="202">
        <f>REMUNERATION!L211</f>
        <v>279</v>
      </c>
      <c r="D948" s="3">
        <f t="shared" si="156"/>
        <v>300</v>
      </c>
      <c r="E948" s="3">
        <f t="shared" si="158"/>
        <v>300</v>
      </c>
    </row>
    <row r="949" spans="1:5" x14ac:dyDescent="0.15">
      <c r="A949" s="9"/>
      <c r="C949" s="202"/>
      <c r="D949" s="3"/>
      <c r="E949" s="3"/>
    </row>
    <row r="950" spans="1:5" ht="12" thickBot="1" x14ac:dyDescent="0.2">
      <c r="A950" s="8" t="s">
        <v>247</v>
      </c>
      <c r="B950" s="138">
        <f>SUM(B939:B948)</f>
        <v>2050672</v>
      </c>
      <c r="C950" s="203">
        <f>SUM(C939:C948)</f>
        <v>2119184.75765</v>
      </c>
      <c r="D950" s="10">
        <f>SUM(D939:D948)</f>
        <v>2242100</v>
      </c>
      <c r="E950" s="10">
        <f>SUM(E939:E948)</f>
        <v>2372000</v>
      </c>
    </row>
    <row r="951" spans="1:5" ht="12" thickTop="1" x14ac:dyDescent="0.15">
      <c r="A951" s="9"/>
      <c r="C951" s="202"/>
      <c r="D951" s="3"/>
      <c r="E951" s="3"/>
    </row>
    <row r="952" spans="1:5" x14ac:dyDescent="0.15">
      <c r="A952" s="11" t="s">
        <v>241</v>
      </c>
      <c r="C952" s="202"/>
      <c r="D952" s="3"/>
      <c r="E952" s="3"/>
    </row>
    <row r="953" spans="1:5" x14ac:dyDescent="0.15">
      <c r="A953" s="8"/>
      <c r="C953" s="202"/>
      <c r="D953" s="3"/>
      <c r="E953" s="3"/>
    </row>
    <row r="954" spans="1:5" x14ac:dyDescent="0.15">
      <c r="A954" s="1" t="s">
        <v>177</v>
      </c>
      <c r="B954" s="126">
        <v>0</v>
      </c>
      <c r="C954" s="202"/>
      <c r="D954" s="3">
        <f t="shared" ref="D954:D959" si="159">ROUND(+C954*(1+D$1),-2)</f>
        <v>0</v>
      </c>
      <c r="E954" s="3">
        <f t="shared" ref="E954:E959" si="160">ROUND(+D954*(1+E$1),-2)</f>
        <v>0</v>
      </c>
    </row>
    <row r="955" spans="1:5" x14ac:dyDescent="0.15">
      <c r="A955" s="8" t="s">
        <v>195</v>
      </c>
      <c r="B955" s="126">
        <v>19223</v>
      </c>
      <c r="C955" s="202">
        <f t="shared" ref="C955:C958" si="161">B955+B955*0.06</f>
        <v>20376.38</v>
      </c>
      <c r="D955" s="3">
        <f t="shared" si="159"/>
        <v>21600</v>
      </c>
      <c r="E955" s="3">
        <f t="shared" si="160"/>
        <v>22900</v>
      </c>
    </row>
    <row r="956" spans="1:5" x14ac:dyDescent="0.15">
      <c r="A956" s="1" t="s">
        <v>569</v>
      </c>
      <c r="B956" s="126">
        <v>650000</v>
      </c>
      <c r="C956" s="202">
        <v>500000</v>
      </c>
      <c r="D956" s="3">
        <f t="shared" si="159"/>
        <v>529000</v>
      </c>
      <c r="E956" s="3">
        <f t="shared" si="160"/>
        <v>559700</v>
      </c>
    </row>
    <row r="957" spans="1:5" x14ac:dyDescent="0.15">
      <c r="A957" s="8" t="s">
        <v>459</v>
      </c>
      <c r="B957" s="126">
        <v>126960</v>
      </c>
      <c r="C957" s="202"/>
      <c r="D957" s="3">
        <f t="shared" si="159"/>
        <v>0</v>
      </c>
      <c r="E957" s="3">
        <f t="shared" ref="E957" si="162">ROUND(+D957*(1+E$1),-2)</f>
        <v>0</v>
      </c>
    </row>
    <row r="958" spans="1:5" x14ac:dyDescent="0.15">
      <c r="A958" s="9" t="s">
        <v>303</v>
      </c>
      <c r="B958" s="126">
        <v>0</v>
      </c>
      <c r="C958" s="202">
        <f t="shared" si="161"/>
        <v>0</v>
      </c>
      <c r="D958" s="3">
        <f t="shared" si="159"/>
        <v>0</v>
      </c>
      <c r="E958" s="3"/>
    </row>
    <row r="959" spans="1:5" x14ac:dyDescent="0.15">
      <c r="A959" s="1" t="s">
        <v>191</v>
      </c>
      <c r="B959" s="126">
        <v>167680</v>
      </c>
      <c r="C959" s="202">
        <v>150000</v>
      </c>
      <c r="D959" s="3">
        <f t="shared" si="159"/>
        <v>158700</v>
      </c>
      <c r="E959" s="3">
        <f t="shared" si="160"/>
        <v>167900</v>
      </c>
    </row>
    <row r="960" spans="1:5" ht="12" thickBot="1" x14ac:dyDescent="0.2">
      <c r="A960" s="8" t="s">
        <v>248</v>
      </c>
      <c r="B960" s="138">
        <f>SUM(B954:B959)</f>
        <v>963863</v>
      </c>
      <c r="C960" s="203">
        <f>SUM(C954:C959)</f>
        <v>670376.38</v>
      </c>
      <c r="D960" s="10">
        <f>SUM(D954:D959)</f>
        <v>709300</v>
      </c>
      <c r="E960" s="10">
        <f>SUM(E954:E959)</f>
        <v>750500</v>
      </c>
    </row>
    <row r="961" spans="1:5" ht="12" thickTop="1" x14ac:dyDescent="0.15">
      <c r="A961" s="9"/>
      <c r="C961" s="202"/>
      <c r="D961" s="3"/>
      <c r="E961" s="3"/>
    </row>
    <row r="962" spans="1:5" x14ac:dyDescent="0.15">
      <c r="A962" s="11" t="s">
        <v>249</v>
      </c>
      <c r="C962" s="202"/>
      <c r="D962" s="3"/>
      <c r="E962" s="3"/>
    </row>
    <row r="963" spans="1:5" x14ac:dyDescent="0.15">
      <c r="A963" s="8"/>
      <c r="C963" s="202"/>
      <c r="D963" s="3"/>
      <c r="E963" s="3"/>
    </row>
    <row r="964" spans="1:5" x14ac:dyDescent="0.15">
      <c r="A964" s="1" t="s">
        <v>282</v>
      </c>
      <c r="B964" s="126">
        <v>10480</v>
      </c>
      <c r="C964" s="202">
        <v>0</v>
      </c>
      <c r="D964" s="3">
        <f t="shared" ref="D964:D965" si="163">ROUND(+C964*(1+D$1),-2)</f>
        <v>0</v>
      </c>
      <c r="E964" s="3">
        <f t="shared" ref="E964:E965" si="164">ROUND(+D964*(1+E$1),-2)</f>
        <v>0</v>
      </c>
    </row>
    <row r="965" spans="1:5" x14ac:dyDescent="0.15">
      <c r="A965" s="1" t="s">
        <v>283</v>
      </c>
      <c r="B965" s="126">
        <v>10480</v>
      </c>
      <c r="C965" s="202">
        <v>0</v>
      </c>
      <c r="D965" s="3">
        <f t="shared" si="163"/>
        <v>0</v>
      </c>
      <c r="E965" s="3">
        <f t="shared" si="164"/>
        <v>0</v>
      </c>
    </row>
    <row r="966" spans="1:5" x14ac:dyDescent="0.15">
      <c r="A966" s="9"/>
      <c r="C966" s="202"/>
      <c r="D966" s="3"/>
      <c r="E966" s="3"/>
    </row>
    <row r="967" spans="1:5" ht="12" thickBot="1" x14ac:dyDescent="0.2">
      <c r="A967" s="8" t="s">
        <v>250</v>
      </c>
      <c r="B967" s="10">
        <f>SUM(B964:B966)</f>
        <v>20960</v>
      </c>
      <c r="C967" s="203">
        <f>SUM(C964:C966)</f>
        <v>0</v>
      </c>
      <c r="D967" s="10">
        <f>SUM(D964:D966)</f>
        <v>0</v>
      </c>
      <c r="E967" s="10">
        <f>SUM(E964:E966)</f>
        <v>0</v>
      </c>
    </row>
    <row r="968" spans="1:5" ht="12" thickTop="1" x14ac:dyDescent="0.15">
      <c r="A968" s="8"/>
      <c r="C968" s="202"/>
      <c r="D968" s="3"/>
      <c r="E968" s="3"/>
    </row>
    <row r="969" spans="1:5" x14ac:dyDescent="0.15">
      <c r="A969" s="9"/>
      <c r="C969" s="202"/>
      <c r="D969" s="3"/>
      <c r="E969" s="3"/>
    </row>
    <row r="970" spans="1:5" x14ac:dyDescent="0.15">
      <c r="A970" s="11" t="s">
        <v>251</v>
      </c>
      <c r="C970" s="202"/>
      <c r="D970" s="3"/>
      <c r="E970" s="3"/>
    </row>
    <row r="971" spans="1:5" x14ac:dyDescent="0.15">
      <c r="A971" s="8"/>
      <c r="C971" s="202"/>
      <c r="D971" s="3"/>
      <c r="E971" s="3"/>
    </row>
    <row r="972" spans="1:5" x14ac:dyDescent="0.15">
      <c r="A972" s="9"/>
      <c r="C972" s="202"/>
      <c r="D972" s="3"/>
      <c r="E972" s="3"/>
    </row>
    <row r="973" spans="1:5" ht="12" thickBot="1" x14ac:dyDescent="0.2">
      <c r="A973" s="8" t="s">
        <v>252</v>
      </c>
      <c r="B973" s="10">
        <f>B984</f>
        <v>10480</v>
      </c>
      <c r="C973" s="203">
        <f>C984</f>
        <v>0</v>
      </c>
      <c r="D973" s="10">
        <f>D984</f>
        <v>0</v>
      </c>
      <c r="E973" s="10">
        <f>E984</f>
        <v>0</v>
      </c>
    </row>
    <row r="974" spans="1:5" ht="12" thickTop="1" x14ac:dyDescent="0.15">
      <c r="A974" s="9"/>
      <c r="C974" s="202"/>
      <c r="D974" s="7"/>
      <c r="E974" s="7"/>
    </row>
    <row r="975" spans="1:5" x14ac:dyDescent="0.15">
      <c r="A975" s="9"/>
      <c r="C975" s="202"/>
      <c r="D975" s="7"/>
      <c r="E975" s="7"/>
    </row>
    <row r="976" spans="1:5" ht="12" thickBot="1" x14ac:dyDescent="0.2">
      <c r="A976" s="8" t="s">
        <v>157</v>
      </c>
      <c r="B976" s="138">
        <f>B967+B960+B950+B973</f>
        <v>3045975</v>
      </c>
      <c r="C976" s="203">
        <f>C967+C960+C950+C973</f>
        <v>2789561.1376499999</v>
      </c>
      <c r="D976" s="10">
        <f>D967+D960+D950+D973</f>
        <v>2951400</v>
      </c>
      <c r="E976" s="10">
        <f>E967+E960+E950+E973</f>
        <v>3122500</v>
      </c>
    </row>
    <row r="977" spans="1:5" ht="12" thickTop="1" x14ac:dyDescent="0.15">
      <c r="A977" s="9"/>
      <c r="C977" s="202"/>
      <c r="D977" s="7"/>
      <c r="E977" s="7"/>
    </row>
    <row r="978" spans="1:5" x14ac:dyDescent="0.15">
      <c r="A978" s="11" t="s">
        <v>251</v>
      </c>
      <c r="C978" s="202"/>
      <c r="D978" s="7"/>
      <c r="E978" s="7"/>
    </row>
    <row r="979" spans="1:5" x14ac:dyDescent="0.15">
      <c r="A979" s="8"/>
      <c r="C979" s="202"/>
      <c r="D979" s="7"/>
      <c r="E979" s="7"/>
    </row>
    <row r="980" spans="1:5" x14ac:dyDescent="0.15">
      <c r="A980" s="1" t="s">
        <v>288</v>
      </c>
      <c r="B980" s="126">
        <v>10480</v>
      </c>
      <c r="C980" s="202">
        <v>0</v>
      </c>
      <c r="D980" s="3">
        <f t="shared" ref="D980:D982" si="165">ROUND(+C980*(1+D$1),-2)</f>
        <v>0</v>
      </c>
      <c r="E980" s="3">
        <f t="shared" ref="E980:E982" si="166">ROUND(+D980*(1+E$1),-2)</f>
        <v>0</v>
      </c>
    </row>
    <row r="981" spans="1:5" x14ac:dyDescent="0.15">
      <c r="A981" s="1" t="s">
        <v>289</v>
      </c>
      <c r="C981" s="202">
        <f t="shared" ref="C981:C982" si="167">B981+B981*0.06</f>
        <v>0</v>
      </c>
      <c r="D981" s="3">
        <f t="shared" si="165"/>
        <v>0</v>
      </c>
      <c r="E981" s="3">
        <f t="shared" si="166"/>
        <v>0</v>
      </c>
    </row>
    <row r="982" spans="1:5" x14ac:dyDescent="0.15">
      <c r="A982" s="1" t="s">
        <v>290</v>
      </c>
      <c r="C982" s="202">
        <f t="shared" si="167"/>
        <v>0</v>
      </c>
      <c r="D982" s="3">
        <f t="shared" si="165"/>
        <v>0</v>
      </c>
      <c r="E982" s="3">
        <f t="shared" si="166"/>
        <v>0</v>
      </c>
    </row>
    <row r="983" spans="1:5" x14ac:dyDescent="0.15">
      <c r="A983" s="9"/>
      <c r="C983" s="202"/>
      <c r="D983" s="7"/>
      <c r="E983" s="7"/>
    </row>
    <row r="984" spans="1:5" ht="12" thickBot="1" x14ac:dyDescent="0.2">
      <c r="A984" s="8" t="s">
        <v>165</v>
      </c>
      <c r="B984" s="10">
        <f>SUM(B980:B982)</f>
        <v>10480</v>
      </c>
      <c r="C984" s="203">
        <f>SUM(C980:C982)</f>
        <v>0</v>
      </c>
      <c r="D984" s="10">
        <f>SUM(D980:D982)</f>
        <v>0</v>
      </c>
      <c r="E984" s="10">
        <f>SUM(E980:E982)</f>
        <v>0</v>
      </c>
    </row>
    <row r="985" spans="1:5" ht="12" thickTop="1" x14ac:dyDescent="0.15">
      <c r="A985" s="9"/>
      <c r="C985" s="202"/>
      <c r="D985" s="3"/>
      <c r="E985" s="3"/>
    </row>
    <row r="986" spans="1:5" x14ac:dyDescent="0.15">
      <c r="B986" s="156"/>
      <c r="C986" s="200"/>
    </row>
    <row r="987" spans="1:5" x14ac:dyDescent="0.15">
      <c r="A987" s="1"/>
      <c r="B987" s="156" t="s">
        <v>245</v>
      </c>
      <c r="C987" s="206" t="s">
        <v>245</v>
      </c>
      <c r="D987" s="156" t="s">
        <v>245</v>
      </c>
      <c r="E987" s="156" t="s">
        <v>245</v>
      </c>
    </row>
    <row r="988" spans="1:5" x14ac:dyDescent="0.15">
      <c r="B988" s="156" t="str">
        <f>B9</f>
        <v>2015/2016</v>
      </c>
      <c r="C988" s="206" t="str">
        <f>C9</f>
        <v>2016/2017</v>
      </c>
      <c r="D988" s="156" t="str">
        <f>D9</f>
        <v>2017/2018</v>
      </c>
      <c r="E988" s="162" t="str">
        <f>E9</f>
        <v>2018/2019</v>
      </c>
    </row>
    <row r="990" spans="1:5" ht="16" x14ac:dyDescent="0.2">
      <c r="A990" s="14" t="s">
        <v>439</v>
      </c>
      <c r="C990" s="202"/>
      <c r="D990" s="3"/>
      <c r="E990" s="3"/>
    </row>
    <row r="991" spans="1:5" x14ac:dyDescent="0.15">
      <c r="A991" s="1"/>
      <c r="C991" s="202"/>
      <c r="D991" s="3"/>
      <c r="E991" s="3"/>
    </row>
    <row r="992" spans="1:5" x14ac:dyDescent="0.15">
      <c r="A992" s="6" t="s">
        <v>246</v>
      </c>
      <c r="C992" s="202"/>
      <c r="D992" s="3"/>
      <c r="E992" s="3"/>
    </row>
    <row r="993" spans="1:5" x14ac:dyDescent="0.15">
      <c r="A993" s="1"/>
      <c r="C993" s="202"/>
      <c r="D993" s="3"/>
      <c r="E993" s="3"/>
    </row>
    <row r="994" spans="1:5" x14ac:dyDescent="0.15">
      <c r="A994" s="1" t="s">
        <v>197</v>
      </c>
      <c r="B994" s="126">
        <v>3971634</v>
      </c>
      <c r="C994" s="202">
        <f>REMUNERATION!F227</f>
        <v>3173593.25</v>
      </c>
      <c r="D994" s="3">
        <f t="shared" ref="D994:D1006" si="168">ROUND(+C994*(1+D$1),-2)</f>
        <v>3357700</v>
      </c>
      <c r="E994" s="3">
        <f t="shared" ref="E994:E996" si="169">ROUND(+D994*(1+E$1),-2)</f>
        <v>3552400</v>
      </c>
    </row>
    <row r="995" spans="1:5" x14ac:dyDescent="0.15">
      <c r="A995" s="1" t="s">
        <v>231</v>
      </c>
      <c r="B995" s="126">
        <v>382306</v>
      </c>
      <c r="C995" s="202">
        <f>REMUNERATION!N227</f>
        <v>264466.10416666669</v>
      </c>
      <c r="D995" s="3">
        <f t="shared" si="168"/>
        <v>279800</v>
      </c>
      <c r="E995" s="3">
        <f t="shared" si="169"/>
        <v>296000</v>
      </c>
    </row>
    <row r="996" spans="1:5" x14ac:dyDescent="0.15">
      <c r="A996" s="1" t="s">
        <v>193</v>
      </c>
      <c r="B996" s="126">
        <v>0</v>
      </c>
      <c r="C996" s="202">
        <v>15000</v>
      </c>
      <c r="D996" s="3">
        <f t="shared" si="168"/>
        <v>15900</v>
      </c>
      <c r="E996" s="3">
        <f t="shared" si="169"/>
        <v>16800</v>
      </c>
    </row>
    <row r="997" spans="1:5" x14ac:dyDescent="0.15">
      <c r="A997" s="1" t="s">
        <v>198</v>
      </c>
      <c r="B997" s="126">
        <v>143856</v>
      </c>
      <c r="C997" s="202">
        <f>REMUNERATION!I227</f>
        <v>67200</v>
      </c>
      <c r="D997" s="3">
        <f t="shared" si="168"/>
        <v>71100</v>
      </c>
      <c r="E997" s="3">
        <f t="shared" ref="E997:E1005" si="170">ROUND(+D997*(1+E$1),-2)</f>
        <v>75200</v>
      </c>
    </row>
    <row r="998" spans="1:5" x14ac:dyDescent="0.15">
      <c r="A998" s="1" t="s">
        <v>199</v>
      </c>
      <c r="B998" s="126">
        <v>348054</v>
      </c>
      <c r="C998" s="202">
        <f>REMUNERATION!H227</f>
        <v>371230.08</v>
      </c>
      <c r="D998" s="3">
        <f t="shared" si="168"/>
        <v>392800</v>
      </c>
      <c r="E998" s="3">
        <f t="shared" si="170"/>
        <v>415600</v>
      </c>
    </row>
    <row r="999" spans="1:5" x14ac:dyDescent="0.15">
      <c r="A999" s="1" t="s">
        <v>169</v>
      </c>
      <c r="B999" s="126">
        <v>674453</v>
      </c>
      <c r="C999" s="202">
        <f>REMUNERATION!G227</f>
        <v>698190.51500000013</v>
      </c>
      <c r="D999" s="3">
        <f t="shared" si="168"/>
        <v>738700</v>
      </c>
      <c r="E999" s="3">
        <f t="shared" si="170"/>
        <v>781500</v>
      </c>
    </row>
    <row r="1000" spans="1:5" x14ac:dyDescent="0.15">
      <c r="A1000" s="1" t="s">
        <v>313</v>
      </c>
      <c r="B1000" s="126">
        <v>0</v>
      </c>
      <c r="C1000" s="202">
        <v>0</v>
      </c>
      <c r="D1000" s="3">
        <f t="shared" si="168"/>
        <v>0</v>
      </c>
      <c r="E1000" s="3">
        <f t="shared" ref="E1000" si="171">ROUND(+D1000*(1+E$1),-2)</f>
        <v>0</v>
      </c>
    </row>
    <row r="1001" spans="1:5" x14ac:dyDescent="0.15">
      <c r="A1001" s="1" t="s">
        <v>4</v>
      </c>
      <c r="B1001" s="126">
        <v>4000</v>
      </c>
      <c r="C1001" s="202">
        <v>4000</v>
      </c>
      <c r="D1001" s="3">
        <f t="shared" si="168"/>
        <v>4200</v>
      </c>
      <c r="E1001" s="3">
        <f t="shared" ref="E1001" si="172">ROUND(+D1001*(1+E$1),-2)</f>
        <v>4400</v>
      </c>
    </row>
    <row r="1002" spans="1:5" x14ac:dyDescent="0.15">
      <c r="A1002" s="1" t="s">
        <v>201</v>
      </c>
      <c r="B1002" s="126">
        <v>942480</v>
      </c>
      <c r="C1002" s="202">
        <f>REMUNERATION!K227</f>
        <v>899640</v>
      </c>
      <c r="D1002" s="3">
        <f t="shared" si="168"/>
        <v>951800</v>
      </c>
      <c r="E1002" s="3">
        <f t="shared" si="170"/>
        <v>1007000</v>
      </c>
    </row>
    <row r="1003" spans="1:5" x14ac:dyDescent="0.15">
      <c r="A1003" s="1" t="s">
        <v>200</v>
      </c>
      <c r="B1003" s="126">
        <v>32400</v>
      </c>
      <c r="C1003" s="202">
        <f>REMUNERATION!E226</f>
        <v>32400</v>
      </c>
      <c r="D1003" s="3">
        <f t="shared" si="168"/>
        <v>34300</v>
      </c>
      <c r="E1003" s="3">
        <f t="shared" si="170"/>
        <v>36300</v>
      </c>
    </row>
    <row r="1004" spans="1:5" x14ac:dyDescent="0.15">
      <c r="A1004" s="1" t="s">
        <v>202</v>
      </c>
      <c r="B1004" s="126">
        <v>14400</v>
      </c>
      <c r="C1004" s="202">
        <f>REMUNERATION!J227</f>
        <v>15408</v>
      </c>
      <c r="D1004" s="3">
        <f t="shared" si="168"/>
        <v>16300</v>
      </c>
      <c r="E1004" s="3">
        <f t="shared" si="170"/>
        <v>17200</v>
      </c>
    </row>
    <row r="1005" spans="1:5" x14ac:dyDescent="0.15">
      <c r="A1005" s="1" t="s">
        <v>203</v>
      </c>
      <c r="B1005" s="126">
        <v>41735</v>
      </c>
      <c r="C1005" s="202">
        <v>41735</v>
      </c>
      <c r="D1005" s="3">
        <f t="shared" si="168"/>
        <v>44200</v>
      </c>
      <c r="E1005" s="3">
        <f t="shared" si="170"/>
        <v>46800</v>
      </c>
    </row>
    <row r="1006" spans="1:5" x14ac:dyDescent="0.15">
      <c r="A1006" s="8" t="s">
        <v>204</v>
      </c>
      <c r="B1006" s="126">
        <v>450</v>
      </c>
      <c r="C1006" s="202">
        <f>REMUNERATION!L227</f>
        <v>744</v>
      </c>
      <c r="D1006" s="3">
        <f t="shared" si="168"/>
        <v>800</v>
      </c>
      <c r="E1006" s="3">
        <v>36</v>
      </c>
    </row>
    <row r="1007" spans="1:5" x14ac:dyDescent="0.15">
      <c r="A1007" s="9"/>
      <c r="C1007" s="202"/>
      <c r="D1007" s="3"/>
      <c r="E1007" s="3"/>
    </row>
    <row r="1008" spans="1:5" ht="12" thickBot="1" x14ac:dyDescent="0.2">
      <c r="A1008" s="8" t="s">
        <v>247</v>
      </c>
      <c r="B1008" s="138">
        <f>SUM(B994:B1006)</f>
        <v>6555768</v>
      </c>
      <c r="C1008" s="203">
        <f>SUM(C994:C1006)</f>
        <v>5583606.9491666667</v>
      </c>
      <c r="D1008" s="10">
        <f>SUM(D994:D1006)</f>
        <v>5907600</v>
      </c>
      <c r="E1008" s="10">
        <f>SUM(E994:E1006)</f>
        <v>6249236</v>
      </c>
    </row>
    <row r="1009" spans="1:6" ht="12" thickTop="1" x14ac:dyDescent="0.15">
      <c r="A1009" s="9"/>
      <c r="C1009" s="202"/>
      <c r="D1009" s="3"/>
      <c r="E1009" s="3"/>
    </row>
    <row r="1010" spans="1:6" x14ac:dyDescent="0.15">
      <c r="A1010" s="11" t="s">
        <v>241</v>
      </c>
      <c r="C1010" s="202"/>
      <c r="D1010" s="3"/>
      <c r="E1010" s="3"/>
    </row>
    <row r="1011" spans="1:6" x14ac:dyDescent="0.15">
      <c r="A1011" s="8"/>
      <c r="C1011" s="202"/>
      <c r="D1011" s="3"/>
      <c r="E1011" s="3"/>
    </row>
    <row r="1012" spans="1:6" x14ac:dyDescent="0.15">
      <c r="A1012" s="1" t="s">
        <v>319</v>
      </c>
      <c r="B1012" s="126">
        <v>450000</v>
      </c>
      <c r="C1012" s="202">
        <v>450000</v>
      </c>
      <c r="D1012" s="3">
        <f t="shared" ref="D1012:D1021" si="173">ROUND(+C1012*(1+D$1),-2)</f>
        <v>476100</v>
      </c>
      <c r="E1012" s="3">
        <f t="shared" ref="E1012:E1021" si="174">ROUND(+D1012*(1+E$1),-2)</f>
        <v>503700</v>
      </c>
    </row>
    <row r="1013" spans="1:6" x14ac:dyDescent="0.15">
      <c r="A1013" s="1" t="s">
        <v>435</v>
      </c>
      <c r="B1013" s="126">
        <v>250000</v>
      </c>
      <c r="C1013" s="202">
        <v>250000</v>
      </c>
      <c r="D1013" s="3">
        <f t="shared" si="173"/>
        <v>264500</v>
      </c>
      <c r="E1013" s="3">
        <f t="shared" ref="E1013" si="175">ROUND(+D1013*(1+E$1),-2)</f>
        <v>279800</v>
      </c>
    </row>
    <row r="1014" spans="1:6" x14ac:dyDescent="0.15">
      <c r="A1014" s="1" t="s">
        <v>434</v>
      </c>
      <c r="B1014" s="126">
        <v>0</v>
      </c>
      <c r="C1014" s="202">
        <f t="shared" ref="C1014:C1017" si="176">B1014+B1014*0.06</f>
        <v>0</v>
      </c>
      <c r="D1014" s="3">
        <f t="shared" si="173"/>
        <v>0</v>
      </c>
      <c r="E1014" s="3">
        <f t="shared" ref="E1014" si="177">ROUND(+D1014*(1+E$1),-2)</f>
        <v>0</v>
      </c>
    </row>
    <row r="1015" spans="1:6" x14ac:dyDescent="0.15">
      <c r="A1015" s="8" t="s">
        <v>195</v>
      </c>
      <c r="B1015" s="126">
        <v>49177</v>
      </c>
      <c r="C1015" s="202">
        <f t="shared" si="176"/>
        <v>52127.62</v>
      </c>
      <c r="D1015" s="3">
        <f t="shared" si="173"/>
        <v>55200</v>
      </c>
      <c r="E1015" s="3">
        <f t="shared" si="174"/>
        <v>58400</v>
      </c>
    </row>
    <row r="1016" spans="1:6" s="9" customFormat="1" x14ac:dyDescent="0.15">
      <c r="A1016" s="8" t="s">
        <v>36</v>
      </c>
      <c r="B1016" s="126">
        <v>650000</v>
      </c>
      <c r="C1016" s="202">
        <v>650000</v>
      </c>
      <c r="D1016" s="3">
        <f t="shared" si="173"/>
        <v>687700</v>
      </c>
      <c r="E1016" s="3">
        <f t="shared" si="174"/>
        <v>727600</v>
      </c>
      <c r="F1016" s="33"/>
    </row>
    <row r="1017" spans="1:6" x14ac:dyDescent="0.15">
      <c r="A1017" s="8" t="s">
        <v>303</v>
      </c>
      <c r="B1017" s="126">
        <v>0</v>
      </c>
      <c r="C1017" s="202">
        <f t="shared" si="176"/>
        <v>0</v>
      </c>
      <c r="D1017" s="3">
        <f t="shared" si="173"/>
        <v>0</v>
      </c>
      <c r="E1017" s="3">
        <f t="shared" si="174"/>
        <v>0</v>
      </c>
    </row>
    <row r="1018" spans="1:6" x14ac:dyDescent="0.15">
      <c r="A1018" s="1" t="s">
        <v>191</v>
      </c>
      <c r="B1018" s="126">
        <v>122355</v>
      </c>
      <c r="C1018" s="202">
        <v>150000</v>
      </c>
      <c r="D1018" s="3">
        <f t="shared" si="173"/>
        <v>158700</v>
      </c>
      <c r="E1018" s="3">
        <f t="shared" si="174"/>
        <v>167900</v>
      </c>
    </row>
    <row r="1019" spans="1:6" x14ac:dyDescent="0.15">
      <c r="A1019" s="1" t="s">
        <v>364</v>
      </c>
      <c r="B1019" s="126"/>
      <c r="C1019" s="202">
        <v>200000</v>
      </c>
      <c r="D1019" s="3">
        <f t="shared" si="173"/>
        <v>211600</v>
      </c>
      <c r="E1019" s="3">
        <f t="shared" si="174"/>
        <v>223900</v>
      </c>
    </row>
    <row r="1020" spans="1:6" x14ac:dyDescent="0.15">
      <c r="A1020" s="1" t="s">
        <v>362</v>
      </c>
      <c r="B1020" s="126">
        <v>500000</v>
      </c>
      <c r="C1020" s="202">
        <v>500000</v>
      </c>
      <c r="D1020" s="3">
        <f t="shared" si="173"/>
        <v>529000</v>
      </c>
      <c r="E1020" s="3">
        <f t="shared" si="174"/>
        <v>559700</v>
      </c>
    </row>
    <row r="1021" spans="1:6" x14ac:dyDescent="0.15">
      <c r="A1021" s="1" t="s">
        <v>363</v>
      </c>
      <c r="B1021" s="126">
        <v>400000</v>
      </c>
      <c r="C1021" s="202">
        <v>400000</v>
      </c>
      <c r="D1021" s="3">
        <f t="shared" si="173"/>
        <v>423200</v>
      </c>
      <c r="E1021" s="3">
        <f t="shared" si="174"/>
        <v>447700</v>
      </c>
    </row>
    <row r="1022" spans="1:6" ht="12" thickBot="1" x14ac:dyDescent="0.2">
      <c r="A1022" s="8" t="s">
        <v>248</v>
      </c>
      <c r="B1022" s="138">
        <f>SUM(B1012:B1021)</f>
        <v>2421532</v>
      </c>
      <c r="C1022" s="203">
        <f>SUM(C1012:C1021)</f>
        <v>2652127.62</v>
      </c>
      <c r="D1022" s="10">
        <f>SUM(D1012:D1021)</f>
        <v>2806000</v>
      </c>
      <c r="E1022" s="10">
        <f>SUM(E1012:E1021)</f>
        <v>2968700</v>
      </c>
    </row>
    <row r="1023" spans="1:6" ht="12" thickTop="1" x14ac:dyDescent="0.15">
      <c r="A1023" s="9"/>
      <c r="C1023" s="202"/>
      <c r="D1023" s="3"/>
      <c r="E1023" s="3"/>
    </row>
    <row r="1024" spans="1:6" x14ac:dyDescent="0.15">
      <c r="A1024" s="11" t="s">
        <v>249</v>
      </c>
      <c r="C1024" s="202"/>
      <c r="D1024" s="3"/>
      <c r="E1024" s="3"/>
    </row>
    <row r="1025" spans="1:5" x14ac:dyDescent="0.15">
      <c r="A1025" s="8"/>
      <c r="C1025" s="202"/>
      <c r="D1025" s="3"/>
      <c r="E1025" s="3"/>
    </row>
    <row r="1026" spans="1:5" x14ac:dyDescent="0.15">
      <c r="A1026" s="1" t="s">
        <v>282</v>
      </c>
      <c r="B1026" s="126">
        <v>10480</v>
      </c>
      <c r="C1026" s="202">
        <v>0</v>
      </c>
      <c r="D1026" s="3">
        <f t="shared" ref="D1026:D1027" si="178">ROUND(+C1026*(1+D$1),-2)</f>
        <v>0</v>
      </c>
      <c r="E1026" s="3">
        <f t="shared" ref="E1026:E1027" si="179">ROUND(+D1026*(1+E$1),-2)</f>
        <v>0</v>
      </c>
    </row>
    <row r="1027" spans="1:5" x14ac:dyDescent="0.15">
      <c r="A1027" s="1" t="s">
        <v>283</v>
      </c>
      <c r="B1027" s="126">
        <v>10480</v>
      </c>
      <c r="C1027" s="202">
        <v>0</v>
      </c>
      <c r="D1027" s="3">
        <f t="shared" si="178"/>
        <v>0</v>
      </c>
      <c r="E1027" s="3">
        <f t="shared" si="179"/>
        <v>0</v>
      </c>
    </row>
    <row r="1028" spans="1:5" x14ac:dyDescent="0.15">
      <c r="A1028" s="9"/>
      <c r="C1028" s="202"/>
      <c r="D1028" s="3"/>
      <c r="E1028" s="3"/>
    </row>
    <row r="1029" spans="1:5" ht="12" thickBot="1" x14ac:dyDescent="0.2">
      <c r="A1029" s="8" t="s">
        <v>250</v>
      </c>
      <c r="B1029" s="10">
        <f>SUM(B1026:B1028)</f>
        <v>20960</v>
      </c>
      <c r="C1029" s="203">
        <f>SUM(C1026:C1028)</f>
        <v>0</v>
      </c>
      <c r="D1029" s="10">
        <f>SUM(D1026:D1028)</f>
        <v>0</v>
      </c>
      <c r="E1029" s="10">
        <f>SUM(E1026:E1028)</f>
        <v>0</v>
      </c>
    </row>
    <row r="1030" spans="1:5" ht="12" thickTop="1" x14ac:dyDescent="0.15">
      <c r="A1030" s="8"/>
      <c r="C1030" s="202"/>
      <c r="D1030" s="3"/>
      <c r="E1030" s="3"/>
    </row>
    <row r="1031" spans="1:5" x14ac:dyDescent="0.15">
      <c r="A1031" s="9"/>
      <c r="C1031" s="202"/>
      <c r="D1031" s="3"/>
      <c r="E1031" s="3"/>
    </row>
    <row r="1032" spans="1:5" x14ac:dyDescent="0.15">
      <c r="A1032" s="11" t="s">
        <v>251</v>
      </c>
      <c r="C1032" s="202"/>
      <c r="D1032" s="3"/>
      <c r="E1032" s="3"/>
    </row>
    <row r="1033" spans="1:5" x14ac:dyDescent="0.15">
      <c r="A1033" s="9"/>
      <c r="C1033" s="202"/>
      <c r="D1033" s="3"/>
      <c r="E1033" s="3"/>
    </row>
    <row r="1034" spans="1:5" ht="12" thickBot="1" x14ac:dyDescent="0.2">
      <c r="A1034" s="8" t="s">
        <v>252</v>
      </c>
      <c r="B1034" s="10">
        <f>B1044</f>
        <v>10480</v>
      </c>
      <c r="C1034" s="203">
        <f>C1044</f>
        <v>0</v>
      </c>
      <c r="D1034" s="10">
        <f>D1044</f>
        <v>0</v>
      </c>
      <c r="E1034" s="10">
        <f>E1044</f>
        <v>0</v>
      </c>
    </row>
    <row r="1035" spans="1:5" ht="12" thickTop="1" x14ac:dyDescent="0.15">
      <c r="A1035" s="9"/>
      <c r="C1035" s="202"/>
      <c r="D1035" s="7"/>
      <c r="E1035" s="7"/>
    </row>
    <row r="1036" spans="1:5" ht="12" thickBot="1" x14ac:dyDescent="0.2">
      <c r="A1036" s="8" t="s">
        <v>154</v>
      </c>
      <c r="B1036" s="138">
        <f>B1029+B1022+B1008+B1034</f>
        <v>9008740</v>
      </c>
      <c r="C1036" s="203">
        <f>C1029+C1022+C1008+C1034</f>
        <v>8235734.5691666668</v>
      </c>
      <c r="D1036" s="10">
        <f>D1029+D1022+D1008+D1034</f>
        <v>8713600</v>
      </c>
      <c r="E1036" s="10">
        <f>E1029+E1022+E1008+E1034</f>
        <v>9217936</v>
      </c>
    </row>
    <row r="1037" spans="1:5" ht="12" thickTop="1" x14ac:dyDescent="0.15">
      <c r="A1037" s="9"/>
      <c r="C1037" s="202"/>
      <c r="D1037" s="7"/>
      <c r="E1037" s="7"/>
    </row>
    <row r="1038" spans="1:5" x14ac:dyDescent="0.15">
      <c r="A1038" s="11" t="s">
        <v>251</v>
      </c>
      <c r="C1038" s="202"/>
      <c r="D1038" s="7"/>
      <c r="E1038" s="7"/>
    </row>
    <row r="1039" spans="1:5" x14ac:dyDescent="0.15">
      <c r="A1039" s="8"/>
      <c r="C1039" s="202"/>
      <c r="D1039" s="7"/>
      <c r="E1039" s="7"/>
    </row>
    <row r="1040" spans="1:5" x14ac:dyDescent="0.15">
      <c r="A1040" s="1" t="s">
        <v>288</v>
      </c>
      <c r="B1040" s="126">
        <v>10480</v>
      </c>
      <c r="C1040" s="202">
        <v>0</v>
      </c>
      <c r="D1040" s="3">
        <f t="shared" ref="D1040:D1042" si="180">ROUND(+C1040*(1+D$1),-2)</f>
        <v>0</v>
      </c>
      <c r="E1040" s="3">
        <f t="shared" ref="E1040:E1042" si="181">ROUND(+D1040*(1+E$1),-2)</f>
        <v>0</v>
      </c>
    </row>
    <row r="1041" spans="1:5" x14ac:dyDescent="0.15">
      <c r="A1041" s="1" t="s">
        <v>289</v>
      </c>
      <c r="B1041" s="126">
        <v>0</v>
      </c>
      <c r="C1041" s="202">
        <f t="shared" ref="C1041:C1042" si="182">B1041+B1041*0.06</f>
        <v>0</v>
      </c>
      <c r="D1041" s="3">
        <f t="shared" si="180"/>
        <v>0</v>
      </c>
      <c r="E1041" s="3">
        <f t="shared" si="181"/>
        <v>0</v>
      </c>
    </row>
    <row r="1042" spans="1:5" x14ac:dyDescent="0.15">
      <c r="A1042" s="1" t="s">
        <v>291</v>
      </c>
      <c r="C1042" s="202">
        <f t="shared" si="182"/>
        <v>0</v>
      </c>
      <c r="D1042" s="3">
        <f t="shared" si="180"/>
        <v>0</v>
      </c>
      <c r="E1042" s="3">
        <f t="shared" si="181"/>
        <v>0</v>
      </c>
    </row>
    <row r="1043" spans="1:5" x14ac:dyDescent="0.15">
      <c r="A1043" s="9"/>
      <c r="C1043" s="202"/>
      <c r="D1043" s="7"/>
      <c r="E1043" s="7"/>
    </row>
    <row r="1044" spans="1:5" ht="12" thickBot="1" x14ac:dyDescent="0.2">
      <c r="A1044" s="8" t="s">
        <v>165</v>
      </c>
      <c r="B1044" s="10">
        <f>SUM(B1040:B1042)</f>
        <v>10480</v>
      </c>
      <c r="C1044" s="203">
        <f>SUM(C1040:C1042)</f>
        <v>0</v>
      </c>
      <c r="D1044" s="10">
        <f>SUM(D1040:D1042)</f>
        <v>0</v>
      </c>
      <c r="E1044" s="10">
        <f>SUM(E1040:E1042)</f>
        <v>0</v>
      </c>
    </row>
    <row r="1045" spans="1:5" ht="12" thickTop="1" x14ac:dyDescent="0.15">
      <c r="A1045" s="8"/>
      <c r="B1045" s="12"/>
      <c r="C1045" s="204"/>
      <c r="D1045" s="12"/>
      <c r="E1045" s="12"/>
    </row>
    <row r="1046" spans="1:5" x14ac:dyDescent="0.15">
      <c r="A1046" s="8"/>
      <c r="B1046" s="241"/>
      <c r="C1046" s="242"/>
      <c r="D1046" s="12"/>
      <c r="E1046" s="12"/>
    </row>
    <row r="1047" spans="1:5" x14ac:dyDescent="0.15">
      <c r="A1047" s="8"/>
      <c r="B1047" s="156" t="s">
        <v>245</v>
      </c>
      <c r="C1047" s="200" t="s">
        <v>245</v>
      </c>
      <c r="D1047" s="158" t="s">
        <v>245</v>
      </c>
      <c r="E1047" s="158" t="s">
        <v>245</v>
      </c>
    </row>
    <row r="1048" spans="1:5" x14ac:dyDescent="0.15">
      <c r="A1048" s="8"/>
      <c r="B1048" s="189" t="str">
        <f>B9</f>
        <v>2015/2016</v>
      </c>
      <c r="C1048" s="201" t="str">
        <f>C9</f>
        <v>2016/2017</v>
      </c>
      <c r="D1048" s="159" t="str">
        <f>D9</f>
        <v>2017/2018</v>
      </c>
      <c r="E1048" s="159" t="str">
        <f>E9</f>
        <v>2018/2019</v>
      </c>
    </row>
    <row r="1049" spans="1:5" x14ac:dyDescent="0.15">
      <c r="A1049" s="8"/>
      <c r="B1049" s="12"/>
      <c r="C1049" s="204"/>
      <c r="D1049" s="12"/>
      <c r="E1049" s="12"/>
    </row>
    <row r="1050" spans="1:5" ht="16" x14ac:dyDescent="0.2">
      <c r="A1050" s="14" t="s">
        <v>365</v>
      </c>
      <c r="C1050" s="202"/>
      <c r="D1050" s="3"/>
      <c r="E1050" s="3"/>
    </row>
    <row r="1051" spans="1:5" x14ac:dyDescent="0.15">
      <c r="A1051" s="1"/>
      <c r="C1051" s="202"/>
      <c r="D1051" s="3"/>
      <c r="E1051" s="3"/>
    </row>
    <row r="1052" spans="1:5" x14ac:dyDescent="0.15">
      <c r="A1052" s="6" t="s">
        <v>246</v>
      </c>
      <c r="C1052" s="202"/>
      <c r="D1052" s="3"/>
      <c r="E1052" s="3"/>
    </row>
    <row r="1053" spans="1:5" x14ac:dyDescent="0.15">
      <c r="A1053" s="1"/>
      <c r="C1053" s="202"/>
      <c r="D1053" s="3"/>
      <c r="E1053" s="3"/>
    </row>
    <row r="1054" spans="1:5" x14ac:dyDescent="0.15">
      <c r="A1054" s="1" t="s">
        <v>197</v>
      </c>
      <c r="B1054" s="126">
        <v>1681084</v>
      </c>
      <c r="C1054" s="202">
        <f>REMUNERATION!F240</f>
        <v>1743737.27</v>
      </c>
      <c r="D1054" s="3">
        <f t="shared" ref="D1054:D1064" si="183">ROUND(+C1054*(1+D$1),-2)</f>
        <v>1844900</v>
      </c>
      <c r="E1054" s="3">
        <f t="shared" ref="E1054:E1064" si="184">ROUND(+D1054*(1+E$1),-2)</f>
        <v>1951900</v>
      </c>
    </row>
    <row r="1055" spans="1:5" x14ac:dyDescent="0.15">
      <c r="A1055" s="1" t="s">
        <v>231</v>
      </c>
      <c r="B1055" s="126">
        <v>140090</v>
      </c>
      <c r="C1055" s="202">
        <f>REMUNERATION!N240</f>
        <v>145311.43916666668</v>
      </c>
      <c r="D1055" s="3">
        <f t="shared" si="183"/>
        <v>153700</v>
      </c>
      <c r="E1055" s="3">
        <f t="shared" si="184"/>
        <v>162600</v>
      </c>
    </row>
    <row r="1056" spans="1:5" x14ac:dyDescent="0.15">
      <c r="A1056" s="1" t="s">
        <v>193</v>
      </c>
      <c r="B1056" s="126">
        <v>0</v>
      </c>
      <c r="C1056" s="202">
        <v>0</v>
      </c>
      <c r="D1056" s="3">
        <f t="shared" si="183"/>
        <v>0</v>
      </c>
      <c r="E1056" s="3">
        <f t="shared" si="184"/>
        <v>0</v>
      </c>
    </row>
    <row r="1057" spans="1:5" x14ac:dyDescent="0.15">
      <c r="A1057" s="1" t="s">
        <v>198</v>
      </c>
      <c r="B1057" s="126">
        <v>32928</v>
      </c>
      <c r="C1057" s="202">
        <f>REMUNERATION!I240</f>
        <v>33600</v>
      </c>
      <c r="D1057" s="3">
        <f t="shared" si="183"/>
        <v>35500</v>
      </c>
      <c r="E1057" s="3">
        <f t="shared" si="184"/>
        <v>37600</v>
      </c>
    </row>
    <row r="1058" spans="1:5" x14ac:dyDescent="0.15">
      <c r="A1058" s="1" t="s">
        <v>199</v>
      </c>
      <c r="B1058" s="126">
        <v>174026</v>
      </c>
      <c r="C1058" s="202">
        <f>REMUNERATION!H240</f>
        <v>185615.04</v>
      </c>
      <c r="D1058" s="3">
        <f t="shared" si="183"/>
        <v>196400</v>
      </c>
      <c r="E1058" s="3">
        <f t="shared" si="184"/>
        <v>207800</v>
      </c>
    </row>
    <row r="1059" spans="1:5" x14ac:dyDescent="0.15">
      <c r="A1059" s="1" t="s">
        <v>200</v>
      </c>
      <c r="B1059" s="126">
        <v>8500</v>
      </c>
      <c r="C1059" s="202">
        <f>REMUNERATION!E239</f>
        <v>8500</v>
      </c>
      <c r="D1059" s="3">
        <f t="shared" si="183"/>
        <v>9000</v>
      </c>
      <c r="E1059" s="3">
        <f t="shared" si="184"/>
        <v>9500</v>
      </c>
    </row>
    <row r="1060" spans="1:5" x14ac:dyDescent="0.15">
      <c r="A1060" s="1" t="s">
        <v>169</v>
      </c>
      <c r="B1060" s="126">
        <v>369838</v>
      </c>
      <c r="C1060" s="202">
        <f>REMUNERATION!G240</f>
        <v>383622.19940000004</v>
      </c>
      <c r="D1060" s="3">
        <f t="shared" si="183"/>
        <v>405900</v>
      </c>
      <c r="E1060" s="3">
        <f t="shared" si="184"/>
        <v>429400</v>
      </c>
    </row>
    <row r="1061" spans="1:5" x14ac:dyDescent="0.15">
      <c r="A1061" s="1" t="s">
        <v>201</v>
      </c>
      <c r="B1061" s="126">
        <v>370080</v>
      </c>
      <c r="C1061" s="202">
        <f>REMUNERATION!K240</f>
        <v>512640</v>
      </c>
      <c r="D1061" s="3">
        <f t="shared" si="183"/>
        <v>542400</v>
      </c>
      <c r="E1061" s="3">
        <f t="shared" si="184"/>
        <v>573900</v>
      </c>
    </row>
    <row r="1062" spans="1:5" x14ac:dyDescent="0.15">
      <c r="A1062" s="1" t="s">
        <v>202</v>
      </c>
      <c r="B1062" s="126">
        <v>6400</v>
      </c>
      <c r="C1062" s="202">
        <f>REMUNERATION!J240</f>
        <v>7704</v>
      </c>
      <c r="D1062" s="3">
        <f t="shared" si="183"/>
        <v>8200</v>
      </c>
      <c r="E1062" s="3">
        <f t="shared" si="184"/>
        <v>8700</v>
      </c>
    </row>
    <row r="1063" spans="1:5" x14ac:dyDescent="0.15">
      <c r="A1063" s="1" t="s">
        <v>203</v>
      </c>
      <c r="B1063" s="126">
        <v>22242</v>
      </c>
      <c r="C1063" s="202">
        <v>22242</v>
      </c>
      <c r="D1063" s="3">
        <f t="shared" si="183"/>
        <v>23500</v>
      </c>
      <c r="E1063" s="3">
        <f t="shared" si="184"/>
        <v>24900</v>
      </c>
    </row>
    <row r="1064" spans="1:5" x14ac:dyDescent="0.15">
      <c r="A1064" s="1" t="s">
        <v>204</v>
      </c>
      <c r="B1064" s="126">
        <v>200</v>
      </c>
      <c r="C1064" s="202">
        <f>REMUNERATION!L240</f>
        <v>372</v>
      </c>
      <c r="D1064" s="3">
        <f t="shared" si="183"/>
        <v>400</v>
      </c>
      <c r="E1064" s="3">
        <f t="shared" si="184"/>
        <v>400</v>
      </c>
    </row>
    <row r="1065" spans="1:5" x14ac:dyDescent="0.15">
      <c r="C1065" s="202"/>
      <c r="D1065" s="3"/>
      <c r="E1065" s="3"/>
    </row>
    <row r="1066" spans="1:5" ht="12" thickBot="1" x14ac:dyDescent="0.2">
      <c r="A1066" s="1" t="s">
        <v>247</v>
      </c>
      <c r="B1066" s="138">
        <f>SUM(B1054:B1065)</f>
        <v>2805388</v>
      </c>
      <c r="C1066" s="203">
        <f>SUM(C1054:C1065)</f>
        <v>3043343.9485666668</v>
      </c>
      <c r="D1066" s="5">
        <f>SUM(D1054:D1065)</f>
        <v>3219900</v>
      </c>
      <c r="E1066" s="5">
        <f>SUM(E1054:E1065)</f>
        <v>3406700</v>
      </c>
    </row>
    <row r="1067" spans="1:5" ht="12" thickTop="1" x14ac:dyDescent="0.15">
      <c r="A1067" s="8"/>
      <c r="B1067" s="12"/>
      <c r="C1067" s="204"/>
      <c r="D1067" s="12"/>
      <c r="E1067" s="12"/>
    </row>
    <row r="1068" spans="1:5" x14ac:dyDescent="0.15">
      <c r="A1068" s="48" t="s">
        <v>127</v>
      </c>
      <c r="C1068" s="202"/>
      <c r="D1068" s="3"/>
      <c r="E1068" s="3"/>
    </row>
    <row r="1069" spans="1:5" x14ac:dyDescent="0.15">
      <c r="A1069" s="1"/>
      <c r="C1069" s="202"/>
      <c r="D1069" s="3"/>
      <c r="E1069" s="3"/>
    </row>
    <row r="1070" spans="1:5" x14ac:dyDescent="0.15">
      <c r="A1070" s="1" t="s">
        <v>261</v>
      </c>
      <c r="C1070" s="202">
        <f t="shared" ref="C1070" si="185">B1070+B1070*0.07</f>
        <v>0</v>
      </c>
      <c r="D1070" s="3">
        <f t="shared" ref="D1070:D1075" si="186">ROUND(+C1070*(1+D$1),-2)</f>
        <v>0</v>
      </c>
      <c r="E1070" s="3">
        <f t="shared" ref="E1070:E1075" si="187">ROUND(+D1070*(1+E$1),-2)</f>
        <v>0</v>
      </c>
    </row>
    <row r="1071" spans="1:5" x14ac:dyDescent="0.15">
      <c r="A1071" s="1" t="s">
        <v>262</v>
      </c>
      <c r="C1071" s="202">
        <f t="shared" ref="C1071:C1075" si="188">B1071+B1071*0.07</f>
        <v>0</v>
      </c>
      <c r="D1071" s="3">
        <f t="shared" si="186"/>
        <v>0</v>
      </c>
      <c r="E1071" s="3">
        <f t="shared" si="187"/>
        <v>0</v>
      </c>
    </row>
    <row r="1072" spans="1:5" x14ac:dyDescent="0.15">
      <c r="A1072" s="1" t="s">
        <v>263</v>
      </c>
      <c r="C1072" s="202">
        <f t="shared" si="188"/>
        <v>0</v>
      </c>
      <c r="D1072" s="3">
        <f t="shared" si="186"/>
        <v>0</v>
      </c>
      <c r="E1072" s="3">
        <f t="shared" si="187"/>
        <v>0</v>
      </c>
    </row>
    <row r="1073" spans="1:5" x14ac:dyDescent="0.15">
      <c r="A1073" s="1" t="s">
        <v>133</v>
      </c>
      <c r="C1073" s="202">
        <f t="shared" si="188"/>
        <v>0</v>
      </c>
      <c r="D1073" s="3">
        <f t="shared" si="186"/>
        <v>0</v>
      </c>
      <c r="E1073" s="3">
        <f t="shared" si="187"/>
        <v>0</v>
      </c>
    </row>
    <row r="1074" spans="1:5" x14ac:dyDescent="0.15">
      <c r="A1074" s="1" t="s">
        <v>184</v>
      </c>
      <c r="C1074" s="202">
        <f t="shared" si="188"/>
        <v>0</v>
      </c>
      <c r="D1074" s="3">
        <f t="shared" si="186"/>
        <v>0</v>
      </c>
      <c r="E1074" s="3">
        <f t="shared" si="187"/>
        <v>0</v>
      </c>
    </row>
    <row r="1075" spans="1:5" x14ac:dyDescent="0.15">
      <c r="A1075" s="1" t="s">
        <v>189</v>
      </c>
      <c r="C1075" s="202">
        <f t="shared" si="188"/>
        <v>0</v>
      </c>
      <c r="D1075" s="3">
        <f t="shared" si="186"/>
        <v>0</v>
      </c>
      <c r="E1075" s="3">
        <f t="shared" si="187"/>
        <v>0</v>
      </c>
    </row>
    <row r="1076" spans="1:5" ht="12" thickBot="1" x14ac:dyDescent="0.2">
      <c r="A1076" s="1"/>
      <c r="B1076" s="10">
        <f>SUM(B1070:B1075)</f>
        <v>0</v>
      </c>
      <c r="C1076" s="203">
        <f>SUM(C1070:C1075)</f>
        <v>0</v>
      </c>
      <c r="D1076" s="5">
        <f>SUM(D1070:D1075)</f>
        <v>0</v>
      </c>
      <c r="E1076" s="5">
        <f>SUM(E1070:E1075)</f>
        <v>0</v>
      </c>
    </row>
    <row r="1077" spans="1:5" ht="12" thickTop="1" x14ac:dyDescent="0.15">
      <c r="A1077" s="6" t="s">
        <v>241</v>
      </c>
      <c r="C1077" s="202"/>
      <c r="D1077" s="3"/>
      <c r="E1077" s="3"/>
    </row>
    <row r="1078" spans="1:5" x14ac:dyDescent="0.15">
      <c r="A1078" s="6"/>
      <c r="C1078" s="202"/>
      <c r="D1078" s="3"/>
      <c r="E1078" s="3"/>
    </row>
    <row r="1079" spans="1:5" x14ac:dyDescent="0.15">
      <c r="A1079" s="1" t="s">
        <v>177</v>
      </c>
      <c r="B1079" s="126">
        <v>10480</v>
      </c>
      <c r="C1079" s="202">
        <v>0</v>
      </c>
      <c r="D1079" s="3">
        <f t="shared" ref="D1079:D1084" si="189">ROUND(+C1079*(1+D$1),-2)</f>
        <v>0</v>
      </c>
      <c r="E1079" s="3">
        <f t="shared" ref="E1079" si="190">ROUND(+D1079*(1+E$1),-2)</f>
        <v>0</v>
      </c>
    </row>
    <row r="1080" spans="1:5" x14ac:dyDescent="0.15">
      <c r="A1080" s="1" t="s">
        <v>194</v>
      </c>
      <c r="B1080" s="126">
        <v>3499</v>
      </c>
      <c r="C1080" s="202">
        <v>0</v>
      </c>
      <c r="D1080" s="3">
        <f t="shared" si="189"/>
        <v>0</v>
      </c>
      <c r="E1080" s="3">
        <f t="shared" ref="E1080:E1084" si="191">ROUND(+D1080*(1+E$1),-2)</f>
        <v>0</v>
      </c>
    </row>
    <row r="1081" spans="1:5" x14ac:dyDescent="0.15">
      <c r="A1081" s="1" t="s">
        <v>195</v>
      </c>
      <c r="B1081" s="126">
        <v>32904</v>
      </c>
      <c r="C1081" s="202">
        <v>0</v>
      </c>
      <c r="D1081" s="3">
        <f t="shared" si="189"/>
        <v>0</v>
      </c>
      <c r="E1081" s="3">
        <f t="shared" si="191"/>
        <v>0</v>
      </c>
    </row>
    <row r="1082" spans="1:5" x14ac:dyDescent="0.15">
      <c r="A1082" s="1" t="s">
        <v>303</v>
      </c>
      <c r="B1082" s="126">
        <v>0</v>
      </c>
      <c r="C1082" s="202">
        <f t="shared" ref="C1082:C1083" si="192">B1082+B1082*0.06</f>
        <v>0</v>
      </c>
      <c r="D1082" s="3">
        <f t="shared" si="189"/>
        <v>0</v>
      </c>
      <c r="E1082" s="3">
        <f t="shared" si="191"/>
        <v>0</v>
      </c>
    </row>
    <row r="1083" spans="1:5" x14ac:dyDescent="0.15">
      <c r="A1083" s="1" t="s">
        <v>191</v>
      </c>
      <c r="B1083" s="126">
        <v>116646</v>
      </c>
      <c r="C1083" s="202">
        <f t="shared" si="192"/>
        <v>123644.76</v>
      </c>
      <c r="D1083" s="3">
        <f t="shared" si="189"/>
        <v>130800</v>
      </c>
      <c r="E1083" s="3">
        <f t="shared" si="191"/>
        <v>138400</v>
      </c>
    </row>
    <row r="1084" spans="1:5" x14ac:dyDescent="0.15">
      <c r="A1084" s="1" t="s">
        <v>361</v>
      </c>
      <c r="B1084" s="126">
        <v>1000000</v>
      </c>
      <c r="C1084" s="202">
        <v>1486368</v>
      </c>
      <c r="D1084" s="3">
        <f t="shared" si="189"/>
        <v>1572600</v>
      </c>
      <c r="E1084" s="3">
        <f t="shared" si="191"/>
        <v>1663800</v>
      </c>
    </row>
    <row r="1085" spans="1:5" ht="12" thickBot="1" x14ac:dyDescent="0.2">
      <c r="A1085" s="1" t="s">
        <v>248</v>
      </c>
      <c r="B1085" s="138">
        <f>SUM(B1079:B1084)</f>
        <v>1163529</v>
      </c>
      <c r="C1085" s="203">
        <f>SUM(C1079:C1084)</f>
        <v>1610012.76</v>
      </c>
      <c r="D1085" s="5">
        <f>SUM(D1079:D1084)</f>
        <v>1703400</v>
      </c>
      <c r="E1085" s="5">
        <f>SUM(E1079:E1084)</f>
        <v>1802200</v>
      </c>
    </row>
    <row r="1086" spans="1:5" ht="12" thickTop="1" x14ac:dyDescent="0.15">
      <c r="A1086" s="8"/>
      <c r="B1086" s="12"/>
      <c r="C1086" s="204"/>
      <c r="D1086" s="12"/>
      <c r="E1086" s="12"/>
    </row>
    <row r="1087" spans="1:5" x14ac:dyDescent="0.15">
      <c r="A1087" s="6" t="s">
        <v>249</v>
      </c>
      <c r="C1087" s="202"/>
      <c r="D1087" s="3"/>
      <c r="E1087" s="3"/>
    </row>
    <row r="1088" spans="1:5" x14ac:dyDescent="0.15">
      <c r="A1088" s="1"/>
      <c r="C1088" s="202"/>
      <c r="D1088" s="3"/>
      <c r="E1088" s="3"/>
    </row>
    <row r="1089" spans="1:5" x14ac:dyDescent="0.15">
      <c r="A1089" s="1" t="s">
        <v>282</v>
      </c>
      <c r="B1089" s="126">
        <v>10480</v>
      </c>
      <c r="C1089" s="202">
        <v>0</v>
      </c>
      <c r="D1089" s="3">
        <f t="shared" ref="D1089:D1090" si="193">ROUND(+C1089*(1+D$1),-2)</f>
        <v>0</v>
      </c>
      <c r="E1089" s="3">
        <f t="shared" ref="E1089:E1090" si="194">ROUND(+D1089*(1+E$1),-2)</f>
        <v>0</v>
      </c>
    </row>
    <row r="1090" spans="1:5" x14ac:dyDescent="0.15">
      <c r="A1090" s="1" t="s">
        <v>283</v>
      </c>
      <c r="B1090" s="126">
        <v>10480</v>
      </c>
      <c r="C1090" s="202">
        <v>0</v>
      </c>
      <c r="D1090" s="3">
        <f t="shared" si="193"/>
        <v>0</v>
      </c>
      <c r="E1090" s="3">
        <f t="shared" si="194"/>
        <v>0</v>
      </c>
    </row>
    <row r="1091" spans="1:5" x14ac:dyDescent="0.15">
      <c r="B1091" s="126"/>
      <c r="C1091" s="202"/>
      <c r="D1091" s="3"/>
      <c r="E1091" s="3"/>
    </row>
    <row r="1092" spans="1:5" ht="12" thickBot="1" x14ac:dyDescent="0.2">
      <c r="A1092" s="1" t="s">
        <v>250</v>
      </c>
      <c r="B1092" s="138">
        <f>SUM(B1089:B1091)</f>
        <v>20960</v>
      </c>
      <c r="C1092" s="203">
        <f>SUM(C1089:C1091)</f>
        <v>0</v>
      </c>
      <c r="D1092" s="5">
        <f>SUM(D1089:D1091)</f>
        <v>0</v>
      </c>
      <c r="E1092" s="5">
        <f>SUM(E1089:E1091)</f>
        <v>0</v>
      </c>
    </row>
    <row r="1093" spans="1:5" ht="12" thickTop="1" x14ac:dyDescent="0.15">
      <c r="A1093" s="1"/>
      <c r="B1093" s="12"/>
      <c r="C1093" s="204"/>
      <c r="D1093" s="4"/>
      <c r="E1093" s="4"/>
    </row>
    <row r="1094" spans="1:5" x14ac:dyDescent="0.15">
      <c r="A1094" s="6" t="s">
        <v>251</v>
      </c>
      <c r="C1094" s="202"/>
      <c r="D1094" s="3"/>
      <c r="E1094" s="3"/>
    </row>
    <row r="1095" spans="1:5" x14ac:dyDescent="0.15">
      <c r="A1095" s="1"/>
      <c r="C1095" s="202"/>
      <c r="D1095" s="3"/>
      <c r="E1095" s="3"/>
    </row>
    <row r="1096" spans="1:5" ht="12" thickBot="1" x14ac:dyDescent="0.2">
      <c r="A1096" s="1" t="s">
        <v>252</v>
      </c>
      <c r="B1096" s="10">
        <f>B1107</f>
        <v>0</v>
      </c>
      <c r="C1096" s="203">
        <f>C1107</f>
        <v>0</v>
      </c>
      <c r="D1096" s="5">
        <f>D1107</f>
        <v>0</v>
      </c>
      <c r="E1096" s="5">
        <f>E1107</f>
        <v>0</v>
      </c>
    </row>
    <row r="1097" spans="1:5" ht="12" thickTop="1" x14ac:dyDescent="0.15">
      <c r="C1097" s="202"/>
      <c r="D1097" s="3"/>
      <c r="E1097" s="3"/>
    </row>
    <row r="1098" spans="1:5" ht="12" thickBot="1" x14ac:dyDescent="0.2">
      <c r="A1098" s="1" t="s">
        <v>157</v>
      </c>
      <c r="B1098" s="138">
        <f>B1096+B1092+B1085+B1066+B1076</f>
        <v>3989877</v>
      </c>
      <c r="C1098" s="203">
        <f>C1096+C1092+C1085+C1066+C1076</f>
        <v>4653356.7085666666</v>
      </c>
      <c r="D1098" s="10">
        <f>D1096+D1092+D1085+D1066+D1076</f>
        <v>4923300</v>
      </c>
      <c r="E1098" s="10">
        <f>E1096+E1092+E1085+E1066+E1076</f>
        <v>5208900</v>
      </c>
    </row>
    <row r="1099" spans="1:5" ht="12" thickTop="1" x14ac:dyDescent="0.15">
      <c r="C1099" s="202"/>
      <c r="D1099" s="3"/>
      <c r="E1099" s="3"/>
    </row>
    <row r="1100" spans="1:5" x14ac:dyDescent="0.15">
      <c r="A1100" s="6" t="s">
        <v>251</v>
      </c>
      <c r="C1100" s="202"/>
      <c r="D1100" s="3"/>
      <c r="E1100" s="3"/>
    </row>
    <row r="1101" spans="1:5" x14ac:dyDescent="0.15">
      <c r="A1101" s="1"/>
      <c r="C1101" s="202"/>
      <c r="D1101" s="3"/>
      <c r="E1101" s="3"/>
    </row>
    <row r="1102" spans="1:5" x14ac:dyDescent="0.15">
      <c r="A1102" s="1" t="s">
        <v>288</v>
      </c>
      <c r="C1102" s="202">
        <f t="shared" ref="C1102:C1105" si="195">B1102+B1102*0.06</f>
        <v>0</v>
      </c>
      <c r="D1102" s="3">
        <f t="shared" ref="D1102:D1105" si="196">ROUND(+C1102*(1+D$1),-2)</f>
        <v>0</v>
      </c>
      <c r="E1102" s="3">
        <f>ROUND(+D1102*(1+E$1),-2)</f>
        <v>0</v>
      </c>
    </row>
    <row r="1103" spans="1:5" x14ac:dyDescent="0.15">
      <c r="A1103" s="1" t="s">
        <v>289</v>
      </c>
      <c r="C1103" s="202">
        <f t="shared" si="195"/>
        <v>0</v>
      </c>
      <c r="D1103" s="3">
        <f t="shared" si="196"/>
        <v>0</v>
      </c>
      <c r="E1103" s="3">
        <v>0</v>
      </c>
    </row>
    <row r="1104" spans="1:5" x14ac:dyDescent="0.15">
      <c r="A1104" s="1" t="s">
        <v>291</v>
      </c>
      <c r="C1104" s="202">
        <f t="shared" si="195"/>
        <v>0</v>
      </c>
      <c r="D1104" s="3">
        <f t="shared" si="196"/>
        <v>0</v>
      </c>
      <c r="E1104" s="3">
        <f>ROUND(+D1104*(1+E$1),-2)</f>
        <v>0</v>
      </c>
    </row>
    <row r="1105" spans="1:6" x14ac:dyDescent="0.15">
      <c r="A1105" s="1" t="s">
        <v>290</v>
      </c>
      <c r="C1105" s="202">
        <f t="shared" si="195"/>
        <v>0</v>
      </c>
      <c r="D1105" s="3">
        <f t="shared" si="196"/>
        <v>0</v>
      </c>
      <c r="E1105" s="3">
        <v>0</v>
      </c>
    </row>
    <row r="1106" spans="1:6" x14ac:dyDescent="0.15">
      <c r="C1106" s="202"/>
      <c r="D1106" s="3"/>
      <c r="E1106" s="3"/>
    </row>
    <row r="1107" spans="1:6" ht="12" thickBot="1" x14ac:dyDescent="0.2">
      <c r="A1107" s="1" t="s">
        <v>165</v>
      </c>
      <c r="B1107" s="10">
        <f>SUM(B1102:B1105)</f>
        <v>0</v>
      </c>
      <c r="C1107" s="203">
        <f>SUM(C1102:C1105)</f>
        <v>0</v>
      </c>
      <c r="D1107" s="5">
        <f>SUM(D1102:D1105)</f>
        <v>0</v>
      </c>
      <c r="E1107" s="5">
        <f>SUM(E1102:E1105)</f>
        <v>0</v>
      </c>
    </row>
    <row r="1108" spans="1:6" ht="12" thickTop="1" x14ac:dyDescent="0.15">
      <c r="A1108" s="1"/>
      <c r="B1108" s="12"/>
      <c r="C1108" s="204"/>
      <c r="D1108" s="4"/>
      <c r="E1108" s="4"/>
    </row>
    <row r="1109" spans="1:6" x14ac:dyDescent="0.15">
      <c r="A1109" s="1"/>
      <c r="B1109" s="241"/>
      <c r="C1109" s="242"/>
      <c r="D1109" s="4"/>
      <c r="E1109" s="4"/>
    </row>
    <row r="1110" spans="1:6" x14ac:dyDescent="0.15">
      <c r="A1110" s="1"/>
      <c r="B1110" s="156" t="s">
        <v>245</v>
      </c>
      <c r="C1110" s="200" t="s">
        <v>245</v>
      </c>
      <c r="D1110" s="158" t="s">
        <v>245</v>
      </c>
      <c r="E1110" s="158" t="s">
        <v>245</v>
      </c>
    </row>
    <row r="1111" spans="1:6" x14ac:dyDescent="0.15">
      <c r="A1111" s="1"/>
      <c r="B1111" s="189" t="str">
        <f>B9</f>
        <v>2015/2016</v>
      </c>
      <c r="C1111" s="201" t="str">
        <f>C9</f>
        <v>2016/2017</v>
      </c>
      <c r="D1111" s="159" t="str">
        <f>D9</f>
        <v>2017/2018</v>
      </c>
      <c r="E1111" s="159" t="str">
        <f>E9</f>
        <v>2018/2019</v>
      </c>
    </row>
    <row r="1112" spans="1:6" x14ac:dyDescent="0.15">
      <c r="A1112" s="1"/>
      <c r="B1112" s="12"/>
      <c r="C1112" s="204"/>
      <c r="D1112" s="4"/>
      <c r="E1112" s="4"/>
    </row>
    <row r="1113" spans="1:6" s="142" customFormat="1" ht="16" x14ac:dyDescent="0.2">
      <c r="A1113" s="14" t="s">
        <v>259</v>
      </c>
      <c r="B1113" s="190"/>
      <c r="C1113" s="210"/>
      <c r="D1113" s="140"/>
      <c r="E1113" s="140"/>
      <c r="F1113" s="141"/>
    </row>
    <row r="1114" spans="1:6" s="142" customFormat="1" ht="16" x14ac:dyDescent="0.2">
      <c r="A1114" s="14"/>
      <c r="B1114" s="190"/>
      <c r="C1114" s="210"/>
      <c r="D1114" s="140"/>
      <c r="E1114" s="140"/>
      <c r="F1114" s="141"/>
    </row>
    <row r="1115" spans="1:6" x14ac:dyDescent="0.15">
      <c r="A1115" s="6" t="s">
        <v>246</v>
      </c>
      <c r="C1115" s="202"/>
      <c r="D1115" s="3"/>
      <c r="E1115" s="3"/>
    </row>
    <row r="1116" spans="1:6" x14ac:dyDescent="0.15">
      <c r="A1116" s="1"/>
      <c r="B1116" s="12"/>
      <c r="C1116" s="204"/>
      <c r="D1116" s="4"/>
      <c r="E1116" s="4"/>
    </row>
    <row r="1117" spans="1:6" x14ac:dyDescent="0.15">
      <c r="A1117" s="1" t="s">
        <v>197</v>
      </c>
      <c r="B1117" s="126">
        <v>10651333</v>
      </c>
      <c r="C1117" s="202">
        <f>REMUNERATION!F280</f>
        <v>12117399.679999998</v>
      </c>
      <c r="D1117" s="3">
        <f t="shared" ref="D1117:D1129" si="197">ROUND(+C1117*(1+D$1),-2)</f>
        <v>12820200</v>
      </c>
      <c r="E1117" s="3">
        <f t="shared" ref="E1117:E1120" si="198">ROUND(+D1117*(1+E$1),-2)</f>
        <v>13563800</v>
      </c>
    </row>
    <row r="1118" spans="1:6" x14ac:dyDescent="0.15">
      <c r="A1118" s="1" t="s">
        <v>231</v>
      </c>
      <c r="B1118" s="126">
        <v>930758</v>
      </c>
      <c r="C1118" s="202">
        <f>REMUNERATION!N280</f>
        <v>1045443.2039666667</v>
      </c>
      <c r="D1118" s="3">
        <f t="shared" si="197"/>
        <v>1106100</v>
      </c>
      <c r="E1118" s="3">
        <f t="shared" si="198"/>
        <v>1170300</v>
      </c>
    </row>
    <row r="1119" spans="1:6" x14ac:dyDescent="0.15">
      <c r="A1119" s="1" t="s">
        <v>193</v>
      </c>
      <c r="B1119" s="126">
        <v>350000</v>
      </c>
      <c r="C1119" s="202">
        <f>REMUNERATION!E276</f>
        <v>350000</v>
      </c>
      <c r="D1119" s="3">
        <f t="shared" si="197"/>
        <v>370300</v>
      </c>
      <c r="E1119" s="3">
        <f t="shared" si="198"/>
        <v>391800</v>
      </c>
    </row>
    <row r="1120" spans="1:6" x14ac:dyDescent="0.15">
      <c r="A1120" s="1" t="s">
        <v>198</v>
      </c>
      <c r="B1120" s="126">
        <v>181104</v>
      </c>
      <c r="C1120" s="202">
        <f>REMUNERATION!I280</f>
        <v>210000</v>
      </c>
      <c r="D1120" s="3">
        <f t="shared" si="197"/>
        <v>222200</v>
      </c>
      <c r="E1120" s="3">
        <f t="shared" si="198"/>
        <v>235100</v>
      </c>
    </row>
    <row r="1121" spans="1:5" x14ac:dyDescent="0.15">
      <c r="A1121" s="1" t="s">
        <v>199</v>
      </c>
      <c r="B1121" s="126">
        <v>1048617</v>
      </c>
      <c r="C1121" s="202">
        <f>REMUNERATION!H280</f>
        <v>1147099.92</v>
      </c>
      <c r="D1121" s="3">
        <f t="shared" si="197"/>
        <v>1213600</v>
      </c>
      <c r="E1121" s="3">
        <f t="shared" ref="E1121:E1128" si="199">ROUND(+D1121*(1+E$1),-2)</f>
        <v>1284000</v>
      </c>
    </row>
    <row r="1122" spans="1:5" x14ac:dyDescent="0.15">
      <c r="A1122" s="1" t="s">
        <v>200</v>
      </c>
      <c r="B1122" s="126">
        <f>54000+1876</f>
        <v>55876</v>
      </c>
      <c r="C1122" s="202">
        <f>REMUNERATION!E277</f>
        <v>55876</v>
      </c>
      <c r="D1122" s="3">
        <f t="shared" si="197"/>
        <v>59100</v>
      </c>
      <c r="E1122" s="3">
        <f t="shared" si="199"/>
        <v>62500</v>
      </c>
    </row>
    <row r="1123" spans="1:5" x14ac:dyDescent="0.15">
      <c r="A1123" s="1" t="s">
        <v>313</v>
      </c>
      <c r="B1123" s="126">
        <v>0</v>
      </c>
      <c r="C1123" s="202">
        <v>0</v>
      </c>
      <c r="D1123" s="3">
        <f t="shared" si="197"/>
        <v>0</v>
      </c>
      <c r="E1123" s="3">
        <f t="shared" ref="E1123" si="200">ROUND(+D1123*(1+E$1),-2)</f>
        <v>0</v>
      </c>
    </row>
    <row r="1124" spans="1:5" x14ac:dyDescent="0.15">
      <c r="A1124" s="1" t="s">
        <v>4</v>
      </c>
      <c r="B1124" s="126">
        <v>0</v>
      </c>
      <c r="C1124" s="202">
        <v>0</v>
      </c>
      <c r="D1124" s="3">
        <f t="shared" si="197"/>
        <v>0</v>
      </c>
      <c r="E1124" s="3">
        <f t="shared" ref="E1124" si="201">ROUND(+D1124*(1+E$1),-2)</f>
        <v>0</v>
      </c>
    </row>
    <row r="1125" spans="1:5" x14ac:dyDescent="0.15">
      <c r="A1125" s="1" t="s">
        <v>169</v>
      </c>
      <c r="B1125" s="126">
        <v>2132462</v>
      </c>
      <c r="C1125" s="202">
        <f>REMUNERATION!G280</f>
        <v>2418841.0892000003</v>
      </c>
      <c r="D1125" s="3">
        <f t="shared" si="197"/>
        <v>2559100</v>
      </c>
      <c r="E1125" s="3">
        <f t="shared" si="199"/>
        <v>2707500</v>
      </c>
    </row>
    <row r="1126" spans="1:5" x14ac:dyDescent="0.15">
      <c r="A1126" s="1" t="s">
        <v>201</v>
      </c>
      <c r="B1126" s="126">
        <v>2169360</v>
      </c>
      <c r="C1126" s="202">
        <f>REMUNERATION!K280</f>
        <v>3010320</v>
      </c>
      <c r="D1126" s="3">
        <f t="shared" si="197"/>
        <v>3184900</v>
      </c>
      <c r="E1126" s="3">
        <f t="shared" si="199"/>
        <v>3369600</v>
      </c>
    </row>
    <row r="1127" spans="1:5" x14ac:dyDescent="0.15">
      <c r="A1127" s="1" t="s">
        <v>202</v>
      </c>
      <c r="B1127" s="126">
        <v>36800</v>
      </c>
      <c r="C1127" s="202">
        <f>REMUNERATION!J280</f>
        <v>50076</v>
      </c>
      <c r="D1127" s="3">
        <f t="shared" si="197"/>
        <v>53000</v>
      </c>
      <c r="E1127" s="3">
        <f t="shared" si="199"/>
        <v>56100</v>
      </c>
    </row>
    <row r="1128" spans="1:5" x14ac:dyDescent="0.15">
      <c r="A1128" s="1" t="s">
        <v>203</v>
      </c>
      <c r="B1128" s="126">
        <v>111733</v>
      </c>
      <c r="C1128" s="202">
        <f>REMUNERATION!M280</f>
        <v>131753.12295000002</v>
      </c>
      <c r="D1128" s="3">
        <f t="shared" si="197"/>
        <v>139400</v>
      </c>
      <c r="E1128" s="3">
        <f t="shared" si="199"/>
        <v>147500</v>
      </c>
    </row>
    <row r="1129" spans="1:5" x14ac:dyDescent="0.15">
      <c r="A1129" s="1" t="s">
        <v>204</v>
      </c>
      <c r="B1129" s="126">
        <v>1150</v>
      </c>
      <c r="C1129" s="202">
        <f>REMUNERATION!L280</f>
        <v>2418</v>
      </c>
      <c r="D1129" s="3">
        <f t="shared" si="197"/>
        <v>2600</v>
      </c>
      <c r="E1129" s="3">
        <f>ROUND(+D1129*(1+E$1),-2)</f>
        <v>2800</v>
      </c>
    </row>
    <row r="1130" spans="1:5" x14ac:dyDescent="0.15">
      <c r="B1130" s="12"/>
      <c r="C1130" s="204"/>
      <c r="D1130" s="4"/>
      <c r="E1130" s="4"/>
    </row>
    <row r="1131" spans="1:5" ht="12" thickBot="1" x14ac:dyDescent="0.2">
      <c r="A1131" s="1" t="s">
        <v>247</v>
      </c>
      <c r="B1131" s="138">
        <f>SUM(B1117:B1130)</f>
        <v>17669193</v>
      </c>
      <c r="C1131" s="203">
        <f t="shared" ref="C1131:D1131" si="202">SUM(C1117:C1130)</f>
        <v>20539227.016116664</v>
      </c>
      <c r="D1131" s="138">
        <f t="shared" si="202"/>
        <v>21730500</v>
      </c>
      <c r="E1131" s="138">
        <f t="shared" ref="E1131" si="203">SUM(E1117:E1130)</f>
        <v>22991000</v>
      </c>
    </row>
    <row r="1132" spans="1:5" ht="12" thickTop="1" x14ac:dyDescent="0.15">
      <c r="A1132" s="1"/>
      <c r="B1132" s="12"/>
      <c r="C1132" s="204"/>
      <c r="D1132" s="4"/>
      <c r="E1132" s="4"/>
    </row>
    <row r="1133" spans="1:5" x14ac:dyDescent="0.15">
      <c r="A1133" s="6" t="s">
        <v>241</v>
      </c>
      <c r="B1133" s="12"/>
      <c r="C1133" s="204"/>
      <c r="D1133" s="4"/>
      <c r="E1133" s="4"/>
    </row>
    <row r="1134" spans="1:5" x14ac:dyDescent="0.15">
      <c r="A1134" s="6"/>
      <c r="B1134" s="12"/>
      <c r="C1134" s="204"/>
      <c r="D1134" s="4"/>
      <c r="E1134" s="4"/>
    </row>
    <row r="1135" spans="1:5" x14ac:dyDescent="0.15">
      <c r="A1135" s="2" t="s">
        <v>131</v>
      </c>
      <c r="B1135" s="126">
        <v>0</v>
      </c>
      <c r="C1135" s="202">
        <v>70000</v>
      </c>
      <c r="D1135" s="3">
        <f t="shared" ref="D1135:D1154" si="204">ROUND(+C1135*(1+D$1),-2)</f>
        <v>74100</v>
      </c>
      <c r="E1135" s="3">
        <f t="shared" ref="E1135:E1142" si="205">ROUND(+D1135*(1+E$1),-2)</f>
        <v>78400</v>
      </c>
    </row>
    <row r="1136" spans="1:5" x14ac:dyDescent="0.15">
      <c r="A1136" s="2" t="s">
        <v>432</v>
      </c>
      <c r="B1136" s="126">
        <v>952200</v>
      </c>
      <c r="C1136" s="202">
        <v>1100000</v>
      </c>
      <c r="D1136" s="3">
        <f t="shared" si="204"/>
        <v>1163800</v>
      </c>
      <c r="E1136" s="3">
        <f t="shared" si="205"/>
        <v>1231300</v>
      </c>
    </row>
    <row r="1137" spans="1:5" x14ac:dyDescent="0.15">
      <c r="A1137" s="2" t="s">
        <v>177</v>
      </c>
      <c r="B1137" s="126">
        <v>105800</v>
      </c>
      <c r="C1137" s="202">
        <v>0</v>
      </c>
      <c r="D1137" s="3">
        <f t="shared" si="204"/>
        <v>0</v>
      </c>
      <c r="E1137" s="3">
        <f t="shared" si="205"/>
        <v>0</v>
      </c>
    </row>
    <row r="1138" spans="1:5" x14ac:dyDescent="0.15">
      <c r="A1138" s="1" t="s">
        <v>136</v>
      </c>
      <c r="B1138" s="126">
        <v>157354</v>
      </c>
      <c r="C1138" s="202">
        <v>150000</v>
      </c>
      <c r="D1138" s="3">
        <f t="shared" si="204"/>
        <v>158700</v>
      </c>
      <c r="E1138" s="3">
        <f t="shared" si="205"/>
        <v>167900</v>
      </c>
    </row>
    <row r="1139" spans="1:5" x14ac:dyDescent="0.15">
      <c r="A1139" s="1" t="s">
        <v>431</v>
      </c>
      <c r="B1139" s="126">
        <v>353275</v>
      </c>
      <c r="C1139" s="202">
        <v>300000</v>
      </c>
      <c r="D1139" s="3">
        <f t="shared" si="204"/>
        <v>317400</v>
      </c>
      <c r="E1139" s="3">
        <f t="shared" si="205"/>
        <v>335800</v>
      </c>
    </row>
    <row r="1140" spans="1:5" x14ac:dyDescent="0.15">
      <c r="A1140" s="1" t="s">
        <v>295</v>
      </c>
      <c r="B1140" s="126">
        <v>350000</v>
      </c>
      <c r="C1140" s="202">
        <v>300000</v>
      </c>
      <c r="D1140" s="3">
        <f t="shared" si="204"/>
        <v>317400</v>
      </c>
      <c r="E1140" s="3">
        <f t="shared" si="205"/>
        <v>335800</v>
      </c>
    </row>
    <row r="1141" spans="1:5" x14ac:dyDescent="0.15">
      <c r="A1141" s="1" t="s">
        <v>182</v>
      </c>
      <c r="B1141" s="126">
        <v>500000</v>
      </c>
      <c r="C1141" s="202">
        <v>400000</v>
      </c>
      <c r="D1141" s="3">
        <f t="shared" si="204"/>
        <v>423200</v>
      </c>
      <c r="E1141" s="3">
        <f t="shared" si="205"/>
        <v>447700</v>
      </c>
    </row>
    <row r="1142" spans="1:5" x14ac:dyDescent="0.15">
      <c r="A1142" s="1" t="s">
        <v>352</v>
      </c>
      <c r="B1142" s="126">
        <v>500000</v>
      </c>
      <c r="C1142" s="202">
        <v>100000</v>
      </c>
      <c r="D1142" s="3">
        <f t="shared" si="204"/>
        <v>105800</v>
      </c>
      <c r="E1142" s="3">
        <f t="shared" si="205"/>
        <v>111900</v>
      </c>
    </row>
    <row r="1143" spans="1:5" x14ac:dyDescent="0.15">
      <c r="A1143" s="1" t="s">
        <v>194</v>
      </c>
      <c r="B1143" s="126">
        <v>0</v>
      </c>
      <c r="C1143" s="202">
        <f t="shared" ref="C1143:C1154" si="206">B1143+B1143*0.06</f>
        <v>0</v>
      </c>
      <c r="D1143" s="3">
        <f t="shared" si="204"/>
        <v>0</v>
      </c>
      <c r="E1143" s="3">
        <f t="shared" ref="E1143:E1154" si="207">ROUND(+D1143*(1+E$1),-2)</f>
        <v>0</v>
      </c>
    </row>
    <row r="1144" spans="1:5" x14ac:dyDescent="0.15">
      <c r="A1144" s="1" t="s">
        <v>357</v>
      </c>
      <c r="B1144" s="126">
        <v>0</v>
      </c>
      <c r="C1144" s="202">
        <v>420000</v>
      </c>
      <c r="D1144" s="3">
        <f t="shared" si="204"/>
        <v>444400</v>
      </c>
      <c r="E1144" s="3">
        <f t="shared" si="207"/>
        <v>470200</v>
      </c>
    </row>
    <row r="1145" spans="1:5" x14ac:dyDescent="0.15">
      <c r="A1145" s="1" t="s">
        <v>195</v>
      </c>
      <c r="B1145" s="126">
        <v>241040</v>
      </c>
      <c r="C1145" s="202">
        <f t="shared" si="206"/>
        <v>255502.4</v>
      </c>
      <c r="D1145" s="3">
        <f t="shared" si="204"/>
        <v>270300</v>
      </c>
      <c r="E1145" s="3">
        <f t="shared" si="207"/>
        <v>286000</v>
      </c>
    </row>
    <row r="1146" spans="1:5" x14ac:dyDescent="0.15">
      <c r="A1146" s="1" t="s">
        <v>190</v>
      </c>
      <c r="B1146" s="126">
        <v>0</v>
      </c>
      <c r="C1146" s="202">
        <f t="shared" si="206"/>
        <v>0</v>
      </c>
      <c r="D1146" s="3">
        <f t="shared" si="204"/>
        <v>0</v>
      </c>
      <c r="E1146" s="3">
        <f t="shared" si="207"/>
        <v>0</v>
      </c>
    </row>
    <row r="1147" spans="1:5" x14ac:dyDescent="0.15">
      <c r="A1147" s="1" t="s">
        <v>196</v>
      </c>
      <c r="B1147" s="126">
        <v>0</v>
      </c>
      <c r="C1147" s="202">
        <f t="shared" si="206"/>
        <v>0</v>
      </c>
      <c r="D1147" s="3">
        <f t="shared" si="204"/>
        <v>0</v>
      </c>
      <c r="E1147" s="3">
        <f t="shared" si="207"/>
        <v>0</v>
      </c>
    </row>
    <row r="1148" spans="1:5" x14ac:dyDescent="0.15">
      <c r="A1148" s="1" t="s">
        <v>303</v>
      </c>
      <c r="B1148" s="126">
        <v>0</v>
      </c>
      <c r="C1148" s="202">
        <f t="shared" si="206"/>
        <v>0</v>
      </c>
      <c r="D1148" s="3">
        <f t="shared" si="204"/>
        <v>0</v>
      </c>
      <c r="E1148" s="3">
        <f t="shared" si="207"/>
        <v>0</v>
      </c>
    </row>
    <row r="1149" spans="1:5" x14ac:dyDescent="0.15">
      <c r="A1149" s="1" t="s">
        <v>191</v>
      </c>
      <c r="B1149" s="126">
        <v>867220</v>
      </c>
      <c r="C1149" s="202">
        <v>700000</v>
      </c>
      <c r="D1149" s="3">
        <f t="shared" si="204"/>
        <v>740600</v>
      </c>
      <c r="E1149" s="3">
        <f t="shared" si="207"/>
        <v>783600</v>
      </c>
    </row>
    <row r="1150" spans="1:5" x14ac:dyDescent="0.15">
      <c r="A1150" s="1" t="s">
        <v>314</v>
      </c>
      <c r="B1150" s="126">
        <v>58322</v>
      </c>
      <c r="C1150" s="202">
        <v>0</v>
      </c>
      <c r="D1150" s="3">
        <f t="shared" si="204"/>
        <v>0</v>
      </c>
      <c r="E1150" s="3">
        <f t="shared" si="207"/>
        <v>0</v>
      </c>
    </row>
    <row r="1151" spans="1:5" x14ac:dyDescent="0.15">
      <c r="A1151" s="1" t="s">
        <v>433</v>
      </c>
      <c r="B1151" s="126">
        <v>0</v>
      </c>
      <c r="C1151" s="202">
        <f t="shared" si="206"/>
        <v>0</v>
      </c>
      <c r="D1151" s="3">
        <f t="shared" si="204"/>
        <v>0</v>
      </c>
      <c r="E1151" s="3">
        <f t="shared" si="207"/>
        <v>0</v>
      </c>
    </row>
    <row r="1152" spans="1:5" x14ac:dyDescent="0.15">
      <c r="A1152" s="173" t="s">
        <v>348</v>
      </c>
      <c r="B1152" s="126">
        <v>0</v>
      </c>
      <c r="C1152" s="202">
        <f t="shared" si="206"/>
        <v>0</v>
      </c>
      <c r="D1152" s="3">
        <f t="shared" si="204"/>
        <v>0</v>
      </c>
      <c r="E1152" s="3">
        <f t="shared" si="207"/>
        <v>0</v>
      </c>
    </row>
    <row r="1153" spans="1:5" x14ac:dyDescent="0.15">
      <c r="A1153" s="173" t="s">
        <v>349</v>
      </c>
      <c r="B1153" s="126">
        <v>0</v>
      </c>
      <c r="C1153" s="202">
        <f t="shared" si="206"/>
        <v>0</v>
      </c>
      <c r="D1153" s="3">
        <f t="shared" si="204"/>
        <v>0</v>
      </c>
      <c r="E1153" s="3">
        <f t="shared" si="207"/>
        <v>0</v>
      </c>
    </row>
    <row r="1154" spans="1:5" x14ac:dyDescent="0.15">
      <c r="A1154" s="1" t="s">
        <v>315</v>
      </c>
      <c r="B1154" s="126">
        <v>11056</v>
      </c>
      <c r="C1154" s="202">
        <f t="shared" si="206"/>
        <v>11719.36</v>
      </c>
      <c r="D1154" s="3">
        <f t="shared" si="204"/>
        <v>12400</v>
      </c>
      <c r="E1154" s="3">
        <f t="shared" si="207"/>
        <v>13100</v>
      </c>
    </row>
    <row r="1155" spans="1:5" ht="12" thickBot="1" x14ac:dyDescent="0.2">
      <c r="A1155" s="1" t="s">
        <v>248</v>
      </c>
      <c r="B1155" s="138">
        <f>SUM(B1135:B1154)</f>
        <v>4096267</v>
      </c>
      <c r="C1155" s="203">
        <f>SUM(C1135:C1154)</f>
        <v>3807221.7599999998</v>
      </c>
      <c r="D1155" s="5">
        <f>SUM(D1135:D1154)</f>
        <v>4028100</v>
      </c>
      <c r="E1155" s="5">
        <f>SUM(E1135:E1154)</f>
        <v>4261700</v>
      </c>
    </row>
    <row r="1156" spans="1:5" ht="12" thickTop="1" x14ac:dyDescent="0.15">
      <c r="A1156" s="1"/>
      <c r="B1156" s="12"/>
      <c r="C1156" s="204"/>
      <c r="D1156" s="4"/>
      <c r="E1156" s="4"/>
    </row>
    <row r="1157" spans="1:5" x14ac:dyDescent="0.15">
      <c r="A1157" s="6" t="s">
        <v>249</v>
      </c>
      <c r="B1157" s="12"/>
      <c r="C1157" s="204"/>
      <c r="D1157" s="4"/>
      <c r="E1157" s="4"/>
    </row>
    <row r="1158" spans="1:5" x14ac:dyDescent="0.15">
      <c r="A1158" s="1"/>
      <c r="B1158" s="12"/>
      <c r="C1158" s="204"/>
      <c r="D1158" s="4"/>
      <c r="E1158" s="4"/>
    </row>
    <row r="1159" spans="1:5" x14ac:dyDescent="0.15">
      <c r="A1159" s="1" t="s">
        <v>282</v>
      </c>
      <c r="B1159" s="126">
        <v>20960</v>
      </c>
      <c r="C1159" s="202">
        <v>0</v>
      </c>
      <c r="D1159" s="3">
        <f t="shared" ref="D1159:D1160" si="208">ROUND(+C1159*(1+D$1),-2)</f>
        <v>0</v>
      </c>
      <c r="E1159" s="3">
        <f t="shared" ref="E1159:E1161" si="209">ROUND(+D1159*(1+E$1),-2)</f>
        <v>0</v>
      </c>
    </row>
    <row r="1160" spans="1:5" x14ac:dyDescent="0.15">
      <c r="A1160" s="1" t="s">
        <v>283</v>
      </c>
      <c r="B1160" s="126">
        <v>20960</v>
      </c>
      <c r="C1160" s="202">
        <v>0</v>
      </c>
      <c r="D1160" s="3">
        <f t="shared" si="208"/>
        <v>0</v>
      </c>
      <c r="E1160" s="3">
        <f t="shared" si="209"/>
        <v>0</v>
      </c>
    </row>
    <row r="1161" spans="1:5" x14ac:dyDescent="0.15">
      <c r="A1161" s="1" t="s">
        <v>285</v>
      </c>
      <c r="C1161" s="202">
        <f t="shared" ref="C1161" si="210">B1161+B1161*0.06</f>
        <v>0</v>
      </c>
      <c r="D1161" s="3">
        <v>0</v>
      </c>
      <c r="E1161" s="3">
        <f t="shared" si="209"/>
        <v>0</v>
      </c>
    </row>
    <row r="1162" spans="1:5" x14ac:dyDescent="0.15">
      <c r="C1162" s="202"/>
      <c r="D1162" s="3"/>
      <c r="E1162" s="3"/>
    </row>
    <row r="1163" spans="1:5" ht="12" thickBot="1" x14ac:dyDescent="0.2">
      <c r="A1163" s="1" t="s">
        <v>250</v>
      </c>
      <c r="B1163" s="138">
        <f>SUM(B1159:B1162)</f>
        <v>41920</v>
      </c>
      <c r="C1163" s="203">
        <f>SUM(C1159:C1162)</f>
        <v>0</v>
      </c>
      <c r="D1163" s="5">
        <f>SUM(D1159:D1162)</f>
        <v>0</v>
      </c>
      <c r="E1163" s="5">
        <f>SUM(E1159:E1162)</f>
        <v>0</v>
      </c>
    </row>
    <row r="1164" spans="1:5" ht="12" thickTop="1" x14ac:dyDescent="0.15">
      <c r="A1164" s="1"/>
      <c r="B1164" s="12"/>
      <c r="C1164" s="204"/>
      <c r="D1164" s="4"/>
      <c r="E1164" s="4"/>
    </row>
    <row r="1165" spans="1:5" x14ac:dyDescent="0.15">
      <c r="A1165" s="6"/>
      <c r="B1165" s="12"/>
      <c r="C1165" s="204"/>
      <c r="D1165" s="4"/>
      <c r="E1165" s="4"/>
    </row>
    <row r="1166" spans="1:5" x14ac:dyDescent="0.15">
      <c r="A1166" s="11" t="s">
        <v>251</v>
      </c>
      <c r="C1166" s="202"/>
      <c r="D1166" s="3"/>
      <c r="E1166" s="3"/>
    </row>
    <row r="1167" spans="1:5" x14ac:dyDescent="0.15">
      <c r="A1167" s="9"/>
      <c r="C1167" s="202"/>
      <c r="D1167" s="3"/>
      <c r="E1167" s="3"/>
    </row>
    <row r="1168" spans="1:5" ht="12" thickBot="1" x14ac:dyDescent="0.2">
      <c r="A1168" s="8" t="s">
        <v>252</v>
      </c>
      <c r="B1168" s="138">
        <f>B1178</f>
        <v>57139</v>
      </c>
      <c r="C1168" s="203">
        <f>C1178</f>
        <v>0</v>
      </c>
      <c r="D1168" s="10">
        <f>D1178</f>
        <v>0</v>
      </c>
      <c r="E1168" s="10">
        <f>E1178</f>
        <v>0</v>
      </c>
    </row>
    <row r="1169" spans="1:5" ht="12" thickTop="1" x14ac:dyDescent="0.15">
      <c r="A1169" s="9"/>
      <c r="C1169" s="202"/>
      <c r="D1169" s="7"/>
      <c r="E1169" s="7"/>
    </row>
    <row r="1170" spans="1:5" ht="12" thickBot="1" x14ac:dyDescent="0.2">
      <c r="A1170" s="8" t="s">
        <v>157</v>
      </c>
      <c r="B1170" s="138">
        <f>B1131+B1155+B1163+B1168</f>
        <v>21864519</v>
      </c>
      <c r="C1170" s="203">
        <f>C1131+C1155+C1163+C1168</f>
        <v>24346448.776116662</v>
      </c>
      <c r="D1170" s="138">
        <f>D1131+D1155+D1163+D1168</f>
        <v>25758600</v>
      </c>
      <c r="E1170" s="138">
        <f>E1131+E1155+E1163+E1168</f>
        <v>27252700</v>
      </c>
    </row>
    <row r="1171" spans="1:5" ht="12" thickTop="1" x14ac:dyDescent="0.15">
      <c r="A1171" s="9"/>
      <c r="C1171" s="202"/>
      <c r="D1171" s="7"/>
      <c r="E1171" s="7"/>
    </row>
    <row r="1172" spans="1:5" x14ac:dyDescent="0.15">
      <c r="A1172" s="11" t="s">
        <v>251</v>
      </c>
      <c r="C1172" s="202"/>
      <c r="D1172" s="7"/>
      <c r="E1172" s="7"/>
    </row>
    <row r="1173" spans="1:5" x14ac:dyDescent="0.15">
      <c r="A1173" s="8"/>
      <c r="C1173" s="202"/>
      <c r="D1173" s="7"/>
      <c r="E1173" s="7"/>
    </row>
    <row r="1174" spans="1:5" x14ac:dyDescent="0.15">
      <c r="A1174" s="1" t="s">
        <v>288</v>
      </c>
      <c r="B1174" s="126">
        <v>46659</v>
      </c>
      <c r="C1174" s="202">
        <v>0</v>
      </c>
      <c r="D1174" s="3">
        <f t="shared" ref="D1174:D1176" si="211">ROUND(+C1174*(1+D$1),-2)</f>
        <v>0</v>
      </c>
      <c r="E1174" s="3">
        <f t="shared" ref="E1174:E1175" si="212">ROUND(+D1174*(1+E$1),-2)</f>
        <v>0</v>
      </c>
    </row>
    <row r="1175" spans="1:5" x14ac:dyDescent="0.15">
      <c r="A1175" s="1" t="s">
        <v>289</v>
      </c>
      <c r="B1175" s="126">
        <v>10480</v>
      </c>
      <c r="C1175" s="202">
        <v>0</v>
      </c>
      <c r="D1175" s="3">
        <f t="shared" si="211"/>
        <v>0</v>
      </c>
      <c r="E1175" s="3">
        <f t="shared" si="212"/>
        <v>0</v>
      </c>
    </row>
    <row r="1176" spans="1:5" x14ac:dyDescent="0.15">
      <c r="A1176" s="1" t="s">
        <v>291</v>
      </c>
      <c r="C1176" s="202">
        <f t="shared" ref="C1176" si="213">B1176+B1176*0.06</f>
        <v>0</v>
      </c>
      <c r="D1176" s="3">
        <f t="shared" si="211"/>
        <v>0</v>
      </c>
      <c r="E1176" s="3">
        <f>ROUND(+D1176*(1+E$1),-2)</f>
        <v>0</v>
      </c>
    </row>
    <row r="1177" spans="1:5" x14ac:dyDescent="0.15">
      <c r="A1177" s="9"/>
      <c r="C1177" s="202"/>
      <c r="D1177" s="7"/>
      <c r="E1177" s="7"/>
    </row>
    <row r="1178" spans="1:5" ht="12" thickBot="1" x14ac:dyDescent="0.2">
      <c r="A1178" s="8" t="s">
        <v>165</v>
      </c>
      <c r="B1178" s="10">
        <f>SUM(B1174:B1176)</f>
        <v>57139</v>
      </c>
      <c r="C1178" s="203">
        <f>SUM(C1174:C1176)</f>
        <v>0</v>
      </c>
      <c r="D1178" s="10">
        <f>SUM(D1174:D1176)</f>
        <v>0</v>
      </c>
      <c r="E1178" s="10">
        <f>SUM(E1174:E1176)</f>
        <v>0</v>
      </c>
    </row>
    <row r="1179" spans="1:5" ht="12" thickTop="1" x14ac:dyDescent="0.15">
      <c r="A1179" s="8"/>
      <c r="B1179" s="12"/>
      <c r="C1179" s="204"/>
      <c r="D1179" s="12"/>
      <c r="E1179" s="12"/>
    </row>
    <row r="1180" spans="1:5" x14ac:dyDescent="0.15">
      <c r="A1180" s="8"/>
      <c r="B1180" s="12"/>
      <c r="C1180" s="204"/>
      <c r="D1180" s="12"/>
      <c r="E1180" s="12"/>
    </row>
    <row r="1181" spans="1:5" x14ac:dyDescent="0.15">
      <c r="A1181" s="8"/>
      <c r="B1181" s="12"/>
      <c r="C1181" s="204"/>
      <c r="D1181" s="12"/>
      <c r="E1181" s="12"/>
    </row>
    <row r="1182" spans="1:5" x14ac:dyDescent="0.15">
      <c r="A1182" s="8"/>
      <c r="B1182" s="12"/>
      <c r="C1182" s="204"/>
      <c r="D1182" s="12"/>
      <c r="E1182" s="12"/>
    </row>
    <row r="1183" spans="1:5" x14ac:dyDescent="0.15">
      <c r="A1183" s="8"/>
      <c r="B1183" s="12"/>
      <c r="C1183" s="204"/>
      <c r="D1183" s="12"/>
      <c r="E1183" s="12"/>
    </row>
    <row r="1184" spans="1:5" x14ac:dyDescent="0.15">
      <c r="A1184" s="8"/>
      <c r="B1184" s="12"/>
      <c r="C1184" s="204"/>
      <c r="D1184" s="12"/>
      <c r="E1184" s="12"/>
    </row>
    <row r="1185" spans="1:5" x14ac:dyDescent="0.15">
      <c r="A1185" s="8"/>
      <c r="B1185" s="12"/>
      <c r="C1185" s="204"/>
      <c r="D1185" s="12"/>
      <c r="E1185" s="12"/>
    </row>
    <row r="1186" spans="1:5" x14ac:dyDescent="0.15">
      <c r="A1186" s="1"/>
      <c r="B1186" s="241"/>
      <c r="C1186" s="242"/>
      <c r="D1186" s="4"/>
      <c r="E1186" s="4"/>
    </row>
    <row r="1187" spans="1:5" x14ac:dyDescent="0.15">
      <c r="A1187" s="1"/>
      <c r="B1187" s="156" t="s">
        <v>245</v>
      </c>
      <c r="C1187" s="200" t="s">
        <v>245</v>
      </c>
      <c r="D1187" s="158" t="s">
        <v>245</v>
      </c>
      <c r="E1187" s="158" t="s">
        <v>245</v>
      </c>
    </row>
    <row r="1188" spans="1:5" x14ac:dyDescent="0.15">
      <c r="A1188" s="1"/>
      <c r="B1188" s="189" t="str">
        <f>B9</f>
        <v>2015/2016</v>
      </c>
      <c r="C1188" s="201" t="str">
        <f>C9</f>
        <v>2016/2017</v>
      </c>
      <c r="D1188" s="159" t="str">
        <f>D9</f>
        <v>2017/2018</v>
      </c>
      <c r="E1188" s="159" t="str">
        <f>E9</f>
        <v>2018/2019</v>
      </c>
    </row>
    <row r="1189" spans="1:5" x14ac:dyDescent="0.15">
      <c r="A1189" s="1"/>
      <c r="B1189" s="189"/>
      <c r="C1189" s="201"/>
      <c r="D1189" s="159"/>
      <c r="E1189" s="159"/>
    </row>
    <row r="1190" spans="1:5" ht="16" x14ac:dyDescent="0.2">
      <c r="A1190" s="164" t="s">
        <v>367</v>
      </c>
      <c r="B1190" s="12"/>
      <c r="C1190" s="204"/>
      <c r="D1190" s="4"/>
      <c r="E1190" s="4"/>
    </row>
    <row r="1191" spans="1:5" x14ac:dyDescent="0.15">
      <c r="A1191" s="1"/>
      <c r="B1191" s="12"/>
      <c r="C1191" s="204"/>
      <c r="D1191" s="4"/>
      <c r="E1191" s="4"/>
    </row>
    <row r="1192" spans="1:5" x14ac:dyDescent="0.15">
      <c r="A1192" s="6" t="s">
        <v>246</v>
      </c>
      <c r="C1192" s="202"/>
      <c r="D1192" s="3"/>
      <c r="E1192" s="3"/>
    </row>
    <row r="1193" spans="1:5" x14ac:dyDescent="0.15">
      <c r="A1193" s="1"/>
      <c r="C1193" s="202"/>
      <c r="D1193" s="3"/>
      <c r="E1193" s="3"/>
    </row>
    <row r="1194" spans="1:5" x14ac:dyDescent="0.15">
      <c r="A1194" s="1" t="s">
        <v>197</v>
      </c>
      <c r="B1194" s="126">
        <v>3063962</v>
      </c>
      <c r="C1194" s="202">
        <f>REMUNERATION!F300</f>
        <v>4056809.7699999996</v>
      </c>
      <c r="D1194" s="3">
        <f t="shared" ref="D1194:D1206" si="214">ROUND(+C1194*(1+D$1),-2)</f>
        <v>4292100</v>
      </c>
      <c r="E1194" s="3">
        <f t="shared" ref="E1194:E1206" si="215">ROUND(+D1194*(1+E$1),-2)</f>
        <v>4541000</v>
      </c>
    </row>
    <row r="1195" spans="1:5" x14ac:dyDescent="0.15">
      <c r="A1195" s="1" t="s">
        <v>231</v>
      </c>
      <c r="B1195" s="126">
        <v>255330</v>
      </c>
      <c r="C1195" s="202">
        <f>REMUNERATION!N300</f>
        <v>388928.66109999997</v>
      </c>
      <c r="D1195" s="3">
        <f t="shared" si="214"/>
        <v>411500</v>
      </c>
      <c r="E1195" s="3">
        <f t="shared" si="215"/>
        <v>435400</v>
      </c>
    </row>
    <row r="1196" spans="1:5" x14ac:dyDescent="0.15">
      <c r="A1196" s="1" t="s">
        <v>193</v>
      </c>
      <c r="B1196" s="126">
        <v>80000</v>
      </c>
      <c r="C1196" s="202">
        <f>REMUNERATION!E298</f>
        <v>65000</v>
      </c>
      <c r="D1196" s="3">
        <f t="shared" si="214"/>
        <v>68800</v>
      </c>
      <c r="E1196" s="3">
        <f t="shared" si="215"/>
        <v>72800</v>
      </c>
    </row>
    <row r="1197" spans="1:5" x14ac:dyDescent="0.15">
      <c r="A1197" s="1" t="s">
        <v>198</v>
      </c>
      <c r="B1197" s="126">
        <v>74088</v>
      </c>
      <c r="C1197" s="202">
        <f>REMUNERATION!I300</f>
        <v>152088</v>
      </c>
      <c r="D1197" s="3">
        <f t="shared" si="214"/>
        <v>160900</v>
      </c>
      <c r="E1197" s="3">
        <f t="shared" si="215"/>
        <v>170200</v>
      </c>
    </row>
    <row r="1198" spans="1:5" x14ac:dyDescent="0.15">
      <c r="A1198" s="1" t="s">
        <v>199</v>
      </c>
      <c r="B1198" s="126">
        <v>391560</v>
      </c>
      <c r="C1198" s="202">
        <f>REMUNERATION!H300</f>
        <v>457437.84</v>
      </c>
      <c r="D1198" s="3">
        <f t="shared" si="214"/>
        <v>484000</v>
      </c>
      <c r="E1198" s="3">
        <f t="shared" si="215"/>
        <v>512100</v>
      </c>
    </row>
    <row r="1199" spans="1:5" x14ac:dyDescent="0.15">
      <c r="A1199" s="1" t="s">
        <v>200</v>
      </c>
      <c r="B1199" s="126">
        <v>67500</v>
      </c>
      <c r="C1199" s="202">
        <f>REMUNERATION!E299</f>
        <v>67500</v>
      </c>
      <c r="D1199" s="3">
        <f t="shared" si="214"/>
        <v>71400</v>
      </c>
      <c r="E1199" s="3">
        <f t="shared" si="215"/>
        <v>75500</v>
      </c>
    </row>
    <row r="1200" spans="1:5" x14ac:dyDescent="0.15">
      <c r="A1200" s="1" t="s">
        <v>313</v>
      </c>
      <c r="B1200" s="126">
        <v>0</v>
      </c>
      <c r="C1200" s="202">
        <v>2700</v>
      </c>
      <c r="D1200" s="3">
        <f t="shared" si="214"/>
        <v>2900</v>
      </c>
      <c r="E1200" s="3">
        <f t="shared" si="215"/>
        <v>3100</v>
      </c>
    </row>
    <row r="1201" spans="1:5" x14ac:dyDescent="0.15">
      <c r="A1201" s="1" t="s">
        <v>169</v>
      </c>
      <c r="B1201" s="126">
        <v>674072</v>
      </c>
      <c r="C1201" s="202">
        <f>REMUNERATION!G300</f>
        <v>695037.09660000016</v>
      </c>
      <c r="D1201" s="3">
        <f t="shared" si="214"/>
        <v>735300</v>
      </c>
      <c r="E1201" s="3">
        <f t="shared" si="215"/>
        <v>777900</v>
      </c>
    </row>
    <row r="1202" spans="1:5" x14ac:dyDescent="0.15">
      <c r="A1202" s="1" t="s">
        <v>201</v>
      </c>
      <c r="B1202" s="126">
        <v>682080</v>
      </c>
      <c r="C1202" s="202">
        <f>REMUNERATION!K300</f>
        <v>1069680</v>
      </c>
      <c r="D1202" s="3">
        <f t="shared" si="214"/>
        <v>1131700</v>
      </c>
      <c r="E1202" s="3">
        <f t="shared" si="215"/>
        <v>1197300</v>
      </c>
    </row>
    <row r="1203" spans="1:5" x14ac:dyDescent="0.15">
      <c r="A1203" s="1" t="s">
        <v>202</v>
      </c>
      <c r="B1203" s="126">
        <v>14400</v>
      </c>
      <c r="C1203" s="202">
        <f>REMUNERATION!J300</f>
        <v>19260</v>
      </c>
      <c r="D1203" s="3">
        <f t="shared" si="214"/>
        <v>20400</v>
      </c>
      <c r="E1203" s="3">
        <f t="shared" si="215"/>
        <v>21600</v>
      </c>
    </row>
    <row r="1204" spans="1:5" x14ac:dyDescent="0.15">
      <c r="A1204" s="1" t="s">
        <v>203</v>
      </c>
      <c r="B1204" s="126">
        <v>37630</v>
      </c>
      <c r="C1204" s="202">
        <v>37630</v>
      </c>
      <c r="D1204" s="3">
        <f t="shared" si="214"/>
        <v>39800</v>
      </c>
      <c r="E1204" s="3">
        <f t="shared" si="215"/>
        <v>42100</v>
      </c>
    </row>
    <row r="1205" spans="1:5" x14ac:dyDescent="0.15">
      <c r="A1205" s="1" t="s">
        <v>204</v>
      </c>
      <c r="B1205" s="126">
        <v>900</v>
      </c>
      <c r="C1205" s="202">
        <v>900</v>
      </c>
      <c r="D1205" s="3">
        <f t="shared" si="214"/>
        <v>1000</v>
      </c>
      <c r="E1205" s="3">
        <f t="shared" si="215"/>
        <v>1100</v>
      </c>
    </row>
    <row r="1206" spans="1:5" x14ac:dyDescent="0.15">
      <c r="A1206" s="1" t="s">
        <v>4</v>
      </c>
      <c r="B1206" s="126">
        <v>0</v>
      </c>
      <c r="C1206" s="202">
        <v>0</v>
      </c>
      <c r="D1206" s="3">
        <f t="shared" si="214"/>
        <v>0</v>
      </c>
      <c r="E1206" s="3">
        <f t="shared" si="215"/>
        <v>0</v>
      </c>
    </row>
    <row r="1207" spans="1:5" x14ac:dyDescent="0.15">
      <c r="C1207" s="202"/>
      <c r="D1207" s="3"/>
      <c r="E1207" s="3"/>
    </row>
    <row r="1208" spans="1:5" ht="12" thickBot="1" x14ac:dyDescent="0.2">
      <c r="A1208" s="1" t="s">
        <v>247</v>
      </c>
      <c r="B1208" s="138">
        <f>SUM(B1194:B1207)</f>
        <v>5341522</v>
      </c>
      <c r="C1208" s="203">
        <f>SUM(C1194:C1207)</f>
        <v>7012971.3676999994</v>
      </c>
      <c r="D1208" s="5">
        <f>SUM(D1194:D1207)</f>
        <v>7419800</v>
      </c>
      <c r="E1208" s="5">
        <f>SUM(E1194:E1207)</f>
        <v>7850100</v>
      </c>
    </row>
    <row r="1209" spans="1:5" ht="12" thickTop="1" x14ac:dyDescent="0.15">
      <c r="C1209" s="202"/>
      <c r="D1209" s="3"/>
      <c r="E1209" s="3"/>
    </row>
    <row r="1210" spans="1:5" x14ac:dyDescent="0.15">
      <c r="A1210" s="6" t="s">
        <v>241</v>
      </c>
      <c r="C1210" s="202"/>
      <c r="D1210" s="3"/>
      <c r="E1210" s="3"/>
    </row>
    <row r="1211" spans="1:5" x14ac:dyDescent="0.15">
      <c r="A1211" s="1"/>
      <c r="C1211" s="202"/>
      <c r="D1211" s="3"/>
      <c r="E1211" s="3"/>
    </row>
    <row r="1212" spans="1:5" x14ac:dyDescent="0.15">
      <c r="A1212" s="1"/>
      <c r="C1212" s="202"/>
      <c r="D1212" s="3"/>
      <c r="E1212" s="3"/>
    </row>
    <row r="1213" spans="1:5" x14ac:dyDescent="0.15">
      <c r="A1213" s="1" t="s">
        <v>310</v>
      </c>
      <c r="B1213" s="126">
        <v>500000</v>
      </c>
      <c r="C1213" s="202">
        <v>400000</v>
      </c>
      <c r="D1213" s="3">
        <f t="shared" ref="D1213:D1227" si="216">ROUND(+C1213*(1+D$1),-2)</f>
        <v>423200</v>
      </c>
      <c r="E1213" s="3">
        <f t="shared" ref="E1213" si="217">ROUND(+D1213*(1+E$1),-2)</f>
        <v>447700</v>
      </c>
    </row>
    <row r="1214" spans="1:5" x14ac:dyDescent="0.15">
      <c r="A1214" s="1" t="s">
        <v>339</v>
      </c>
      <c r="B1214" s="126">
        <v>47103</v>
      </c>
      <c r="C1214" s="202">
        <v>200000</v>
      </c>
      <c r="D1214" s="3">
        <f t="shared" si="216"/>
        <v>211600</v>
      </c>
      <c r="E1214" s="3">
        <f t="shared" ref="E1214:E1227" si="218">ROUND(+D1214*(1+E$1),-2)</f>
        <v>223900</v>
      </c>
    </row>
    <row r="1215" spans="1:5" x14ac:dyDescent="0.15">
      <c r="A1215" s="1" t="s">
        <v>296</v>
      </c>
      <c r="B1215" s="126">
        <v>60000</v>
      </c>
      <c r="C1215" s="202">
        <v>0</v>
      </c>
      <c r="D1215" s="3">
        <f t="shared" si="216"/>
        <v>0</v>
      </c>
      <c r="E1215" s="3">
        <f t="shared" si="218"/>
        <v>0</v>
      </c>
    </row>
    <row r="1216" spans="1:5" x14ac:dyDescent="0.15">
      <c r="A1216" s="173" t="s">
        <v>268</v>
      </c>
      <c r="B1216" s="126">
        <v>1800000</v>
      </c>
      <c r="C1216" s="202">
        <v>1800000</v>
      </c>
      <c r="D1216" s="3">
        <f t="shared" si="216"/>
        <v>1904400</v>
      </c>
      <c r="E1216" s="3">
        <f t="shared" si="218"/>
        <v>2014900</v>
      </c>
    </row>
    <row r="1217" spans="1:5" x14ac:dyDescent="0.15">
      <c r="A1217" s="1" t="s">
        <v>177</v>
      </c>
      <c r="B1217" s="126">
        <v>10480</v>
      </c>
      <c r="C1217" s="202">
        <v>63600</v>
      </c>
      <c r="D1217" s="3">
        <f t="shared" si="216"/>
        <v>67300</v>
      </c>
      <c r="E1217" s="3">
        <f t="shared" si="218"/>
        <v>71200</v>
      </c>
    </row>
    <row r="1218" spans="1:5" x14ac:dyDescent="0.15">
      <c r="A1218" s="1" t="s">
        <v>311</v>
      </c>
      <c r="B1218" s="126">
        <v>46658</v>
      </c>
      <c r="C1218" s="202">
        <v>0</v>
      </c>
      <c r="D1218" s="3">
        <f t="shared" si="216"/>
        <v>0</v>
      </c>
      <c r="E1218" s="3">
        <f t="shared" si="218"/>
        <v>0</v>
      </c>
    </row>
    <row r="1219" spans="1:5" x14ac:dyDescent="0.15">
      <c r="A1219" s="1" t="s">
        <v>148</v>
      </c>
      <c r="B1219" s="126">
        <v>0</v>
      </c>
      <c r="C1219" s="202">
        <f t="shared" ref="C1219:C1227" si="219">B1219+B1219*0.06</f>
        <v>0</v>
      </c>
      <c r="D1219" s="3">
        <f t="shared" si="216"/>
        <v>0</v>
      </c>
      <c r="E1219" s="3">
        <f t="shared" si="218"/>
        <v>0</v>
      </c>
    </row>
    <row r="1220" spans="1:5" x14ac:dyDescent="0.15">
      <c r="A1220" s="1" t="s">
        <v>194</v>
      </c>
      <c r="B1220" s="126">
        <v>3499</v>
      </c>
      <c r="C1220" s="202">
        <v>0</v>
      </c>
      <c r="D1220" s="3">
        <f t="shared" si="216"/>
        <v>0</v>
      </c>
      <c r="E1220" s="3">
        <f t="shared" si="218"/>
        <v>0</v>
      </c>
    </row>
    <row r="1221" spans="1:5" x14ac:dyDescent="0.15">
      <c r="A1221" s="1" t="s">
        <v>570</v>
      </c>
      <c r="B1221" s="126">
        <v>0</v>
      </c>
      <c r="C1221" s="202">
        <v>1320000</v>
      </c>
      <c r="D1221" s="3">
        <f t="shared" si="216"/>
        <v>1396600</v>
      </c>
      <c r="E1221" s="3">
        <f t="shared" si="218"/>
        <v>1477600</v>
      </c>
    </row>
    <row r="1222" spans="1:5" x14ac:dyDescent="0.15">
      <c r="A1222" s="1" t="s">
        <v>303</v>
      </c>
      <c r="B1222" s="126">
        <v>0</v>
      </c>
      <c r="C1222" s="202">
        <f t="shared" si="219"/>
        <v>0</v>
      </c>
      <c r="D1222" s="3">
        <f t="shared" si="216"/>
        <v>0</v>
      </c>
      <c r="E1222" s="3">
        <f t="shared" ref="E1222:E1223" si="220">ROUND(+D1222*(1+E$1),-2)</f>
        <v>0</v>
      </c>
    </row>
    <row r="1223" spans="1:5" x14ac:dyDescent="0.15">
      <c r="A1223" s="1" t="s">
        <v>426</v>
      </c>
      <c r="B1223" s="126">
        <v>1000000</v>
      </c>
      <c r="C1223" s="202">
        <v>1700000</v>
      </c>
      <c r="D1223" s="3">
        <f t="shared" si="216"/>
        <v>1798600</v>
      </c>
      <c r="E1223" s="3">
        <f t="shared" si="220"/>
        <v>1902900</v>
      </c>
    </row>
    <row r="1224" spans="1:5" x14ac:dyDescent="0.15">
      <c r="A1224" s="1" t="s">
        <v>351</v>
      </c>
      <c r="B1224" s="126">
        <v>0</v>
      </c>
      <c r="C1224" s="202">
        <f t="shared" si="219"/>
        <v>0</v>
      </c>
      <c r="D1224" s="3">
        <f t="shared" si="216"/>
        <v>0</v>
      </c>
      <c r="E1224" s="3">
        <f t="shared" si="218"/>
        <v>0</v>
      </c>
    </row>
    <row r="1225" spans="1:5" x14ac:dyDescent="0.15">
      <c r="A1225" s="1" t="s">
        <v>309</v>
      </c>
      <c r="B1225" s="126">
        <v>800000</v>
      </c>
      <c r="C1225" s="202">
        <v>800000</v>
      </c>
      <c r="D1225" s="3">
        <f t="shared" si="216"/>
        <v>846400</v>
      </c>
      <c r="E1225" s="3">
        <f t="shared" si="218"/>
        <v>895500</v>
      </c>
    </row>
    <row r="1226" spans="1:5" x14ac:dyDescent="0.15">
      <c r="A1226" s="1" t="s">
        <v>195</v>
      </c>
      <c r="B1226" s="126">
        <v>61580</v>
      </c>
      <c r="C1226" s="202">
        <f t="shared" si="219"/>
        <v>65274.8</v>
      </c>
      <c r="D1226" s="3">
        <f t="shared" si="216"/>
        <v>69100</v>
      </c>
      <c r="E1226" s="3">
        <f t="shared" si="218"/>
        <v>73100</v>
      </c>
    </row>
    <row r="1227" spans="1:5" x14ac:dyDescent="0.15">
      <c r="A1227" s="1" t="s">
        <v>191</v>
      </c>
      <c r="B1227" s="126">
        <v>161700</v>
      </c>
      <c r="C1227" s="202">
        <f t="shared" si="219"/>
        <v>171402</v>
      </c>
      <c r="D1227" s="3">
        <f t="shared" si="216"/>
        <v>181300</v>
      </c>
      <c r="E1227" s="3">
        <f t="shared" si="218"/>
        <v>191800</v>
      </c>
    </row>
    <row r="1228" spans="1:5" ht="12" thickBot="1" x14ac:dyDescent="0.2">
      <c r="A1228" s="1" t="s">
        <v>248</v>
      </c>
      <c r="B1228" s="138">
        <f>SUM(B1213:B1227)</f>
        <v>4491020</v>
      </c>
      <c r="C1228" s="203">
        <f>SUM(C1213:C1227)</f>
        <v>6520276.7999999998</v>
      </c>
      <c r="D1228" s="138">
        <f>SUM(D1213:D1227)</f>
        <v>6898500</v>
      </c>
      <c r="E1228" s="138">
        <f>SUM(E1213:E1227)</f>
        <v>7298600</v>
      </c>
    </row>
    <row r="1229" spans="1:5" ht="12" thickTop="1" x14ac:dyDescent="0.15">
      <c r="C1229" s="202"/>
      <c r="D1229" s="3"/>
      <c r="E1229" s="3"/>
    </row>
    <row r="1230" spans="1:5" x14ac:dyDescent="0.15">
      <c r="A1230" s="6" t="s">
        <v>249</v>
      </c>
      <c r="C1230" s="202"/>
      <c r="D1230" s="3"/>
      <c r="E1230" s="3"/>
    </row>
    <row r="1231" spans="1:5" x14ac:dyDescent="0.15">
      <c r="A1231" s="1"/>
      <c r="C1231" s="202"/>
      <c r="D1231" s="3"/>
      <c r="E1231" s="3"/>
    </row>
    <row r="1232" spans="1:5" x14ac:dyDescent="0.15">
      <c r="A1232" s="1" t="s">
        <v>282</v>
      </c>
      <c r="B1232" s="126">
        <v>10480</v>
      </c>
      <c r="C1232" s="202">
        <v>0</v>
      </c>
      <c r="D1232" s="3">
        <f t="shared" ref="D1232:D1234" si="221">ROUND(+C1232*(1+D$1),-2)</f>
        <v>0</v>
      </c>
      <c r="E1232" s="3">
        <f t="shared" ref="E1232:E1234" si="222">ROUND(+D1232*(1+E$1),-2)</f>
        <v>0</v>
      </c>
    </row>
    <row r="1233" spans="1:5" x14ac:dyDescent="0.15">
      <c r="A1233" s="1" t="s">
        <v>283</v>
      </c>
      <c r="B1233" s="126">
        <v>1459</v>
      </c>
      <c r="C1233" s="202">
        <v>0</v>
      </c>
      <c r="D1233" s="3">
        <f t="shared" si="221"/>
        <v>0</v>
      </c>
      <c r="E1233" s="3">
        <f t="shared" si="222"/>
        <v>0</v>
      </c>
    </row>
    <row r="1234" spans="1:5" x14ac:dyDescent="0.15">
      <c r="A1234" s="1" t="s">
        <v>285</v>
      </c>
      <c r="C1234" s="202">
        <f t="shared" ref="C1234" si="223">B1234+B1234*0.06</f>
        <v>0</v>
      </c>
      <c r="D1234" s="3">
        <f t="shared" si="221"/>
        <v>0</v>
      </c>
      <c r="E1234" s="3">
        <f t="shared" si="222"/>
        <v>0</v>
      </c>
    </row>
    <row r="1235" spans="1:5" x14ac:dyDescent="0.15">
      <c r="C1235" s="202"/>
      <c r="D1235" s="3"/>
      <c r="E1235" s="3"/>
    </row>
    <row r="1236" spans="1:5" ht="12" thickBot="1" x14ac:dyDescent="0.2">
      <c r="A1236" s="1" t="s">
        <v>250</v>
      </c>
      <c r="B1236" s="138">
        <f>SUM(B1232:B1235)</f>
        <v>11939</v>
      </c>
      <c r="C1236" s="203">
        <f>SUM(C1232:C1235)</f>
        <v>0</v>
      </c>
      <c r="D1236" s="5">
        <f>SUM(D1232:D1235)</f>
        <v>0</v>
      </c>
      <c r="E1236" s="5">
        <f>SUM(E1232:E1235)</f>
        <v>0</v>
      </c>
    </row>
    <row r="1237" spans="1:5" ht="12" thickTop="1" x14ac:dyDescent="0.15">
      <c r="C1237" s="202"/>
      <c r="D1237" s="3"/>
      <c r="E1237" s="3"/>
    </row>
    <row r="1238" spans="1:5" x14ac:dyDescent="0.15">
      <c r="A1238" s="6" t="s">
        <v>251</v>
      </c>
      <c r="C1238" s="202"/>
      <c r="D1238" s="3"/>
      <c r="E1238" s="3"/>
    </row>
    <row r="1239" spans="1:5" x14ac:dyDescent="0.15">
      <c r="A1239" s="1"/>
      <c r="C1239" s="202"/>
      <c r="D1239" s="3"/>
      <c r="E1239" s="3"/>
    </row>
    <row r="1240" spans="1:5" x14ac:dyDescent="0.15">
      <c r="C1240" s="202"/>
      <c r="D1240" s="3"/>
      <c r="E1240" s="3"/>
    </row>
    <row r="1241" spans="1:5" ht="12" thickBot="1" x14ac:dyDescent="0.2">
      <c r="A1241" s="1" t="s">
        <v>252</v>
      </c>
      <c r="B1241" s="10">
        <f>B1258</f>
        <v>14581</v>
      </c>
      <c r="C1241" s="203">
        <f>C1258</f>
        <v>0</v>
      </c>
      <c r="D1241" s="5">
        <f>D1258</f>
        <v>0</v>
      </c>
      <c r="E1241" s="5">
        <f>E1258</f>
        <v>0</v>
      </c>
    </row>
    <row r="1242" spans="1:5" ht="12" thickTop="1" x14ac:dyDescent="0.15">
      <c r="C1242" s="202"/>
      <c r="D1242" s="3"/>
      <c r="E1242" s="3"/>
    </row>
    <row r="1243" spans="1:5" x14ac:dyDescent="0.15">
      <c r="C1243" s="202"/>
      <c r="D1243" s="3"/>
      <c r="E1243" s="3"/>
    </row>
    <row r="1244" spans="1:5" ht="12" thickBot="1" x14ac:dyDescent="0.2">
      <c r="A1244" s="1" t="s">
        <v>157</v>
      </c>
      <c r="B1244" s="138">
        <f>B1241+B1236+B1228+B1208</f>
        <v>9859062</v>
      </c>
      <c r="C1244" s="203">
        <f>C1241+C1236+C1228+C1208</f>
        <v>13533248.1677</v>
      </c>
      <c r="D1244" s="5">
        <f>D1241+D1236+D1228+D1208</f>
        <v>14318300</v>
      </c>
      <c r="E1244" s="5">
        <f>E1241+E1236+E1228+E1208</f>
        <v>15148700</v>
      </c>
    </row>
    <row r="1245" spans="1:5" ht="12" thickTop="1" x14ac:dyDescent="0.15">
      <c r="C1245" s="202"/>
      <c r="D1245" s="3"/>
      <c r="E1245" s="3"/>
    </row>
    <row r="1246" spans="1:5" x14ac:dyDescent="0.15">
      <c r="A1246" s="6" t="s">
        <v>155</v>
      </c>
      <c r="C1246" s="202"/>
      <c r="D1246" s="3"/>
      <c r="E1246" s="3"/>
    </row>
    <row r="1247" spans="1:5" x14ac:dyDescent="0.15">
      <c r="A1247" s="1"/>
      <c r="C1247" s="202"/>
      <c r="D1247" s="3"/>
      <c r="E1247" s="3"/>
    </row>
    <row r="1248" spans="1:5" x14ac:dyDescent="0.15">
      <c r="A1248" s="1" t="s">
        <v>155</v>
      </c>
      <c r="C1248" s="202">
        <f>B1248</f>
        <v>0</v>
      </c>
      <c r="D1248" s="3">
        <f>ROUND(+C1248*(1+D$1),-2)</f>
        <v>0</v>
      </c>
      <c r="E1248" s="3">
        <f>ROUND(+D1248*(1+E$1),-2)</f>
        <v>0</v>
      </c>
    </row>
    <row r="1249" spans="1:5" x14ac:dyDescent="0.15">
      <c r="C1249" s="202"/>
      <c r="D1249" s="3"/>
      <c r="E1249" s="3"/>
    </row>
    <row r="1250" spans="1:5" ht="12" thickBot="1" x14ac:dyDescent="0.2">
      <c r="A1250" s="1" t="s">
        <v>156</v>
      </c>
      <c r="B1250" s="10">
        <f>SUM(B1248:B1249)</f>
        <v>0</v>
      </c>
      <c r="C1250" s="203">
        <f>SUM(C1248:C1249)</f>
        <v>0</v>
      </c>
      <c r="D1250" s="5">
        <f>SUM(D1248:D1249)</f>
        <v>0</v>
      </c>
      <c r="E1250" s="5">
        <f>SUM(E1248:E1249)</f>
        <v>0</v>
      </c>
    </row>
    <row r="1251" spans="1:5" ht="12" thickTop="1" x14ac:dyDescent="0.15">
      <c r="C1251" s="202"/>
      <c r="D1251" s="3"/>
      <c r="E1251" s="3"/>
    </row>
    <row r="1252" spans="1:5" x14ac:dyDescent="0.15">
      <c r="A1252" s="6" t="s">
        <v>251</v>
      </c>
      <c r="C1252" s="202"/>
      <c r="D1252" s="3"/>
      <c r="E1252" s="3"/>
    </row>
    <row r="1253" spans="1:5" x14ac:dyDescent="0.15">
      <c r="A1253" s="1"/>
      <c r="C1253" s="202"/>
      <c r="D1253" s="3"/>
      <c r="E1253" s="3"/>
    </row>
    <row r="1254" spans="1:5" x14ac:dyDescent="0.15">
      <c r="A1254" s="1" t="s">
        <v>288</v>
      </c>
      <c r="B1254" s="126">
        <v>14581</v>
      </c>
      <c r="C1254" s="202">
        <v>0</v>
      </c>
      <c r="D1254" s="3">
        <f t="shared" ref="D1254:D1256" si="224">ROUND(+C1254*(1+D$1),-2)</f>
        <v>0</v>
      </c>
      <c r="E1254" s="3">
        <f t="shared" ref="E1254:E1256" si="225">ROUND(+D1254*(1+E$1),-2)</f>
        <v>0</v>
      </c>
    </row>
    <row r="1255" spans="1:5" x14ac:dyDescent="0.15">
      <c r="A1255" s="1" t="s">
        <v>289</v>
      </c>
      <c r="C1255" s="202">
        <f t="shared" ref="C1255:C1256" si="226">B1255+B1255*0.06</f>
        <v>0</v>
      </c>
      <c r="D1255" s="3">
        <f t="shared" si="224"/>
        <v>0</v>
      </c>
      <c r="E1255" s="3">
        <f t="shared" si="225"/>
        <v>0</v>
      </c>
    </row>
    <row r="1256" spans="1:5" x14ac:dyDescent="0.15">
      <c r="A1256" s="1" t="s">
        <v>290</v>
      </c>
      <c r="C1256" s="202">
        <f t="shared" si="226"/>
        <v>0</v>
      </c>
      <c r="D1256" s="3">
        <f t="shared" si="224"/>
        <v>0</v>
      </c>
      <c r="E1256" s="3">
        <f t="shared" si="225"/>
        <v>0</v>
      </c>
    </row>
    <row r="1257" spans="1:5" x14ac:dyDescent="0.15">
      <c r="C1257" s="202"/>
      <c r="D1257" s="3"/>
      <c r="E1257" s="3"/>
    </row>
    <row r="1258" spans="1:5" ht="12" thickBot="1" x14ac:dyDescent="0.2">
      <c r="A1258" s="1" t="s">
        <v>165</v>
      </c>
      <c r="B1258" s="10">
        <f>SUM(B1254:B1257)</f>
        <v>14581</v>
      </c>
      <c r="C1258" s="203">
        <f>SUM(C1254:C1257)</f>
        <v>0</v>
      </c>
      <c r="D1258" s="5">
        <f>SUM(D1254:D1257)</f>
        <v>0</v>
      </c>
      <c r="E1258" s="5">
        <f>SUM(E1254:E1257)</f>
        <v>0</v>
      </c>
    </row>
    <row r="1259" spans="1:5" ht="12" thickTop="1" x14ac:dyDescent="0.15">
      <c r="A1259" s="1"/>
    </row>
    <row r="1260" spans="1:5" x14ac:dyDescent="0.15">
      <c r="A1260" s="1"/>
    </row>
    <row r="1261" spans="1:5" x14ac:dyDescent="0.15">
      <c r="A1261" s="1"/>
    </row>
    <row r="1262" spans="1:5" x14ac:dyDescent="0.15">
      <c r="A1262" s="1"/>
    </row>
    <row r="1263" spans="1:5" ht="20" x14ac:dyDescent="0.2">
      <c r="A1263" s="20" t="s">
        <v>271</v>
      </c>
    </row>
    <row r="1264" spans="1:5" x14ac:dyDescent="0.15">
      <c r="A1264" s="1"/>
    </row>
    <row r="1265" spans="1:5" x14ac:dyDescent="0.15">
      <c r="A1265" s="2" t="s">
        <v>272</v>
      </c>
      <c r="B1265" s="7">
        <f>B268+B333+B470+B536+B671+B761+B822+B892+B950+B1008+B405+B1066+B1131+B1208</f>
        <v>94862537</v>
      </c>
      <c r="C1265" s="202">
        <f>C268+C333+C470+C536+C671+C761+C822+C892+C950+C1008+C405+C1066+C1131+C1208</f>
        <v>103353537.53277498</v>
      </c>
      <c r="D1265" s="7">
        <f>D268+D333+D470+D536+D671+D761+D822+D892+D950+D1008+D405+D1066+D1131+D1208</f>
        <v>109275800</v>
      </c>
      <c r="E1265" s="7">
        <f>E268+E333+E470+E536+E671+E761+E822+E892+E950+E1008+E405+E1066+E1131+E1208</f>
        <v>115612936</v>
      </c>
    </row>
    <row r="1266" spans="1:5" x14ac:dyDescent="0.15">
      <c r="A1266" s="2" t="s">
        <v>135</v>
      </c>
      <c r="B1266" s="7">
        <f>B278+B346+B415+B480+B1076</f>
        <v>14598539</v>
      </c>
      <c r="C1266" s="202">
        <f>C278+C346+C415+C480+C1076</f>
        <v>15851034.640000001</v>
      </c>
      <c r="D1266" s="153">
        <f>D278+D346+D415+D480+D1076</f>
        <v>16770600</v>
      </c>
      <c r="E1266" s="153">
        <f>E278+E346+E415+E480+E1076</f>
        <v>17743300</v>
      </c>
    </row>
    <row r="1267" spans="1:5" x14ac:dyDescent="0.15">
      <c r="A1267" s="2" t="s">
        <v>273</v>
      </c>
      <c r="B1267" s="7">
        <f>B289+B362+B488+B557+B711+B774+B840+B907+B960+B1022+B424+B1085+B1155+B1228</f>
        <v>88526088</v>
      </c>
      <c r="C1267" s="202">
        <f>C289+C362+C488+C557+C711+C774+C840+C907+C960+C1022+C424+C1085+C1155+C1228</f>
        <v>72685492.500000015</v>
      </c>
      <c r="D1267" s="152">
        <f>D289+D362+D488+D557+D711+D774+D840+D907+D960+D1022+D424+D1085+D1155+D1228</f>
        <v>75760505</v>
      </c>
      <c r="E1267" s="152">
        <f>E289+E362+E488+E557+E711+E774+E840+E907+E960+E1022+E424+E1085+E1155+E1228</f>
        <v>82233405</v>
      </c>
    </row>
    <row r="1268" spans="1:5" x14ac:dyDescent="0.15">
      <c r="A1268" s="2" t="s">
        <v>274</v>
      </c>
      <c r="B1268" s="7">
        <f>B296+B369+B496+B565+B721+B781+B848+B914+B967+B1029+B431+B1092+B1163+B1236</f>
        <v>447660</v>
      </c>
      <c r="C1268" s="202">
        <f>C296+C369+C496+C565+C721+C781+C848+C914+C967+C1029+C431+C1092+C1163+C1236</f>
        <v>2942815.1999999997</v>
      </c>
      <c r="D1268" s="7">
        <f>D296+D369+D496+D565+D721+D781+D848+D914+D967+D1029+D431+D1092+D1163+D1236</f>
        <v>2305100</v>
      </c>
      <c r="E1268" s="7">
        <f>E296+E369+E496+E565+E721+E781+E848+E914+E967+E1029+E431+E1092+E1163+E1236</f>
        <v>2438900</v>
      </c>
    </row>
    <row r="1269" spans="1:5" x14ac:dyDescent="0.15">
      <c r="A1269" s="1" t="s">
        <v>275</v>
      </c>
      <c r="B1269" s="7">
        <f>B579</f>
        <v>16445933</v>
      </c>
      <c r="C1269" s="202">
        <f>C579</f>
        <v>15095487</v>
      </c>
      <c r="D1269" s="7">
        <f>D579</f>
        <v>14920000</v>
      </c>
      <c r="E1269" s="7">
        <f>E579</f>
        <v>15205400</v>
      </c>
    </row>
    <row r="1270" spans="1:5" x14ac:dyDescent="0.15">
      <c r="A1270" s="1" t="s">
        <v>276</v>
      </c>
      <c r="B1270" s="7">
        <f>B300+B373+B500+B570+B726+B786+B853+B919+B973+B1034+B435+B1178+B1241</f>
        <v>354419</v>
      </c>
      <c r="C1270" s="202">
        <f>C300+C373+C500+C570+C726+C786+C853+C919+C973+C1034+C435+C1168+C1241</f>
        <v>0</v>
      </c>
      <c r="D1270" s="7">
        <f>D300+D373+D500+D570+D726+D786+D853+D919+D973+D1034+D435+D1178+D1241</f>
        <v>0</v>
      </c>
      <c r="E1270" s="7">
        <f>E300+E373+E500+E570+E726+E786+E853+E919+E973+E1034+E435+E1178+E1241</f>
        <v>0</v>
      </c>
    </row>
    <row r="1271" spans="1:5" ht="12" thickBot="1" x14ac:dyDescent="0.2">
      <c r="A1271" s="1" t="s">
        <v>277</v>
      </c>
      <c r="B1271" s="10">
        <f>SUM(B1265:B1270)</f>
        <v>215235176</v>
      </c>
      <c r="C1271" s="203">
        <f>SUM(C1265:C1270)</f>
        <v>209928366.87277499</v>
      </c>
      <c r="D1271" s="10">
        <f>SUM(D1265:D1270)</f>
        <v>219032005</v>
      </c>
      <c r="E1271" s="10">
        <f>SUM(E1265:E1270)</f>
        <v>233233941</v>
      </c>
    </row>
    <row r="1272" spans="1:5" ht="12" thickTop="1" x14ac:dyDescent="0.15">
      <c r="A1272" s="1"/>
    </row>
    <row r="1275" spans="1:5" x14ac:dyDescent="0.15">
      <c r="A1275" s="48" t="s">
        <v>278</v>
      </c>
    </row>
    <row r="1276" spans="1:5" x14ac:dyDescent="0.15">
      <c r="A1276" s="2" t="s">
        <v>272</v>
      </c>
      <c r="B1276" s="7">
        <f>B30</f>
        <v>94862537</v>
      </c>
      <c r="C1276" s="202">
        <f>C30</f>
        <v>103353537.532775</v>
      </c>
      <c r="D1276" s="7">
        <f>D30</f>
        <v>109275800</v>
      </c>
      <c r="E1276" s="7">
        <f>E30</f>
        <v>115612936</v>
      </c>
    </row>
    <row r="1277" spans="1:5" x14ac:dyDescent="0.15">
      <c r="A1277" s="2" t="s">
        <v>135</v>
      </c>
      <c r="B1277" s="7">
        <f>B45</f>
        <v>14598539</v>
      </c>
      <c r="C1277" s="202">
        <f>C45</f>
        <v>15851034.640000001</v>
      </c>
      <c r="D1277" s="7">
        <f>D45</f>
        <v>16770600</v>
      </c>
      <c r="E1277" s="7">
        <f>E45</f>
        <v>17743300</v>
      </c>
    </row>
    <row r="1278" spans="1:5" x14ac:dyDescent="0.15">
      <c r="A1278" s="2" t="s">
        <v>273</v>
      </c>
      <c r="B1278" s="7">
        <f>B157</f>
        <v>88526088</v>
      </c>
      <c r="C1278" s="202">
        <f>C157</f>
        <v>72685492.5</v>
      </c>
      <c r="D1278" s="7">
        <f>D157</f>
        <v>75760505</v>
      </c>
      <c r="E1278" s="7">
        <f>E157</f>
        <v>82233405</v>
      </c>
    </row>
    <row r="1279" spans="1:5" x14ac:dyDescent="0.15">
      <c r="A1279" s="2" t="s">
        <v>274</v>
      </c>
      <c r="B1279" s="7">
        <f>B166</f>
        <v>447660</v>
      </c>
      <c r="C1279" s="202">
        <f>C166</f>
        <v>2942815.1999999997</v>
      </c>
      <c r="D1279" s="7">
        <f>D166</f>
        <v>2305100</v>
      </c>
      <c r="E1279" s="7">
        <f>E166</f>
        <v>2438900</v>
      </c>
    </row>
    <row r="1280" spans="1:5" x14ac:dyDescent="0.15">
      <c r="A1280" s="1" t="s">
        <v>275</v>
      </c>
      <c r="B1280" s="7">
        <f>B178</f>
        <v>16445933</v>
      </c>
      <c r="C1280" s="202">
        <f>C178</f>
        <v>15095487</v>
      </c>
      <c r="D1280" s="7">
        <f>D178</f>
        <v>14920000</v>
      </c>
      <c r="E1280" s="7">
        <f>E178</f>
        <v>15205400</v>
      </c>
    </row>
    <row r="1281" spans="1:7" x14ac:dyDescent="0.15">
      <c r="A1281" s="1" t="s">
        <v>276</v>
      </c>
      <c r="B1281" s="7">
        <f>B170</f>
        <v>354419</v>
      </c>
      <c r="C1281" s="202">
        <f>C170</f>
        <v>0</v>
      </c>
      <c r="D1281" s="7">
        <f>D170</f>
        <v>0</v>
      </c>
      <c r="E1281" s="7">
        <f>E170</f>
        <v>0</v>
      </c>
    </row>
    <row r="1282" spans="1:7" ht="12" thickBot="1" x14ac:dyDescent="0.2">
      <c r="A1282" s="1" t="s">
        <v>277</v>
      </c>
      <c r="B1282" s="10">
        <f>SUM(B1276:B1281)</f>
        <v>215235176</v>
      </c>
      <c r="C1282" s="203">
        <f>SUM(C1276:C1281)</f>
        <v>209928366.87277499</v>
      </c>
      <c r="D1282" s="10">
        <f>SUM(D1276:D1281)</f>
        <v>219032005</v>
      </c>
      <c r="E1282" s="10">
        <f>SUM(E1276:E1281)</f>
        <v>233233941</v>
      </c>
    </row>
    <row r="1283" spans="1:7" ht="12" thickTop="1" x14ac:dyDescent="0.15"/>
    <row r="1284" spans="1:7" x14ac:dyDescent="0.15">
      <c r="A1284" s="48" t="s">
        <v>279</v>
      </c>
    </row>
    <row r="1285" spans="1:7" x14ac:dyDescent="0.15">
      <c r="A1285" s="2" t="s">
        <v>272</v>
      </c>
      <c r="B1285" s="7">
        <f>B1265-B1276</f>
        <v>0</v>
      </c>
      <c r="C1285" s="202">
        <f>C1265-C1276</f>
        <v>0</v>
      </c>
      <c r="D1285" s="7">
        <f>D1265-D1276</f>
        <v>0</v>
      </c>
      <c r="E1285" s="7">
        <f>E1265-E1276</f>
        <v>0</v>
      </c>
    </row>
    <row r="1286" spans="1:7" x14ac:dyDescent="0.15">
      <c r="A1286" s="2" t="s">
        <v>135</v>
      </c>
      <c r="B1286" s="7">
        <f t="shared" ref="B1286:D1290" si="227">B1266-B1277</f>
        <v>0</v>
      </c>
      <c r="C1286" s="202">
        <f t="shared" si="227"/>
        <v>0</v>
      </c>
      <c r="D1286" s="7">
        <f t="shared" si="227"/>
        <v>0</v>
      </c>
      <c r="E1286" s="7">
        <f t="shared" ref="E1286" si="228">E1266-E1277</f>
        <v>0</v>
      </c>
    </row>
    <row r="1287" spans="1:7" x14ac:dyDescent="0.15">
      <c r="A1287" s="2" t="s">
        <v>273</v>
      </c>
      <c r="B1287" s="7">
        <f t="shared" si="227"/>
        <v>0</v>
      </c>
      <c r="C1287" s="202">
        <f t="shared" si="227"/>
        <v>0</v>
      </c>
      <c r="D1287" s="7">
        <f t="shared" si="227"/>
        <v>0</v>
      </c>
      <c r="E1287" s="7">
        <f t="shared" ref="E1287" si="229">E1267-E1278</f>
        <v>0</v>
      </c>
    </row>
    <row r="1288" spans="1:7" x14ac:dyDescent="0.15">
      <c r="A1288" s="2" t="s">
        <v>274</v>
      </c>
      <c r="B1288" s="7">
        <f t="shared" si="227"/>
        <v>0</v>
      </c>
      <c r="C1288" s="202">
        <f t="shared" si="227"/>
        <v>0</v>
      </c>
      <c r="D1288" s="7">
        <f t="shared" si="227"/>
        <v>0</v>
      </c>
      <c r="E1288" s="7">
        <f t="shared" ref="E1288" si="230">E1268-E1279</f>
        <v>0</v>
      </c>
    </row>
    <row r="1289" spans="1:7" x14ac:dyDescent="0.15">
      <c r="A1289" s="1" t="s">
        <v>275</v>
      </c>
      <c r="B1289" s="7">
        <f t="shared" si="227"/>
        <v>0</v>
      </c>
      <c r="C1289" s="202">
        <f t="shared" si="227"/>
        <v>0</v>
      </c>
      <c r="D1289" s="7">
        <f t="shared" si="227"/>
        <v>0</v>
      </c>
      <c r="E1289" s="7">
        <f t="shared" ref="E1289" si="231">E1269-E1280</f>
        <v>0</v>
      </c>
    </row>
    <row r="1290" spans="1:7" x14ac:dyDescent="0.15">
      <c r="A1290" s="1" t="s">
        <v>276</v>
      </c>
      <c r="B1290" s="7">
        <f t="shared" si="227"/>
        <v>0</v>
      </c>
      <c r="C1290" s="202">
        <f t="shared" si="227"/>
        <v>0</v>
      </c>
      <c r="D1290" s="7">
        <f t="shared" si="227"/>
        <v>0</v>
      </c>
      <c r="E1290" s="7">
        <f t="shared" ref="E1290" si="232">E1270-E1281</f>
        <v>0</v>
      </c>
    </row>
    <row r="1291" spans="1:7" ht="12" thickBot="1" x14ac:dyDescent="0.2">
      <c r="A1291" s="1" t="s">
        <v>277</v>
      </c>
      <c r="B1291" s="10">
        <f>SUM(B1285:B1290)</f>
        <v>0</v>
      </c>
      <c r="C1291" s="203">
        <f>SUM(C1285:C1290)</f>
        <v>0</v>
      </c>
      <c r="D1291" s="10">
        <f>SUM(D1285:D1290)</f>
        <v>0</v>
      </c>
      <c r="E1291" s="10">
        <f>SUM(E1285:E1290)</f>
        <v>0</v>
      </c>
    </row>
    <row r="1292" spans="1:7" ht="12" thickTop="1" x14ac:dyDescent="0.15"/>
    <row r="1293" spans="1:7" x14ac:dyDescent="0.15">
      <c r="A1293" s="27"/>
      <c r="B1293" s="12"/>
      <c r="C1293" s="204"/>
      <c r="D1293" s="12"/>
      <c r="E1293" s="12"/>
      <c r="F1293" s="46"/>
      <c r="G1293" s="47"/>
    </row>
    <row r="1294" spans="1:7" x14ac:dyDescent="0.15">
      <c r="A1294" s="27"/>
      <c r="B1294" s="12"/>
      <c r="C1294" s="211"/>
      <c r="D1294" s="47"/>
      <c r="E1294" s="47"/>
      <c r="F1294" s="46"/>
      <c r="G1294" s="47"/>
    </row>
    <row r="1295" spans="1:7" x14ac:dyDescent="0.15">
      <c r="A1295" s="27"/>
      <c r="B1295" s="12"/>
      <c r="C1295" s="211"/>
      <c r="D1295" s="47"/>
      <c r="E1295" s="47"/>
      <c r="F1295" s="46"/>
      <c r="G1295" s="47"/>
    </row>
    <row r="1296" spans="1:7" x14ac:dyDescent="0.15">
      <c r="A1296" s="27"/>
      <c r="B1296" s="12"/>
      <c r="C1296" s="211"/>
      <c r="D1296" s="47"/>
      <c r="E1296" s="47"/>
      <c r="F1296" s="46"/>
      <c r="G1296" s="47"/>
    </row>
    <row r="1297" spans="1:7" x14ac:dyDescent="0.15">
      <c r="A1297" s="27"/>
      <c r="B1297" s="12"/>
      <c r="C1297" s="211"/>
      <c r="D1297" s="47"/>
      <c r="E1297" s="47"/>
      <c r="F1297" s="46"/>
      <c r="G1297" s="47"/>
    </row>
    <row r="1298" spans="1:7" x14ac:dyDescent="0.15">
      <c r="A1298" s="27"/>
      <c r="B1298" s="12"/>
      <c r="C1298" s="211"/>
      <c r="D1298" s="47"/>
      <c r="E1298" s="47"/>
      <c r="F1298" s="46"/>
      <c r="G1298" s="47"/>
    </row>
    <row r="1299" spans="1:7" x14ac:dyDescent="0.15">
      <c r="A1299" s="27"/>
      <c r="B1299" s="12"/>
      <c r="C1299" s="211"/>
      <c r="D1299" s="47"/>
      <c r="E1299" s="47"/>
      <c r="F1299" s="46"/>
      <c r="G1299" s="47"/>
    </row>
    <row r="1300" spans="1:7" x14ac:dyDescent="0.15">
      <c r="A1300" s="27"/>
      <c r="B1300" s="12"/>
      <c r="C1300" s="211"/>
      <c r="D1300" s="47"/>
      <c r="E1300" s="47"/>
      <c r="F1300" s="46"/>
      <c r="G1300" s="47"/>
    </row>
    <row r="1301" spans="1:7" x14ac:dyDescent="0.15">
      <c r="A1301" s="27"/>
      <c r="B1301" s="12"/>
      <c r="C1301" s="211"/>
      <c r="D1301" s="47"/>
      <c r="E1301" s="47"/>
      <c r="F1301" s="46"/>
      <c r="G1301" s="47"/>
    </row>
    <row r="1302" spans="1:7" x14ac:dyDescent="0.15">
      <c r="A1302" s="27"/>
      <c r="B1302" s="12"/>
      <c r="C1302" s="211"/>
      <c r="D1302" s="47"/>
      <c r="E1302" s="47"/>
      <c r="F1302" s="46"/>
      <c r="G1302" s="47"/>
    </row>
    <row r="1303" spans="1:7" x14ac:dyDescent="0.15">
      <c r="A1303" s="27"/>
      <c r="B1303" s="12"/>
      <c r="C1303" s="211"/>
      <c r="D1303" s="47"/>
      <c r="E1303" s="47"/>
      <c r="F1303" s="46"/>
      <c r="G1303" s="47"/>
    </row>
    <row r="1304" spans="1:7" x14ac:dyDescent="0.15">
      <c r="A1304" s="27"/>
      <c r="B1304" s="12"/>
      <c r="C1304" s="211"/>
      <c r="D1304" s="47"/>
      <c r="E1304" s="47"/>
      <c r="F1304" s="46"/>
      <c r="G1304" s="47"/>
    </row>
    <row r="1305" spans="1:7" x14ac:dyDescent="0.15">
      <c r="A1305" s="27"/>
      <c r="B1305" s="12"/>
      <c r="C1305" s="211"/>
      <c r="D1305" s="47"/>
      <c r="E1305" s="47"/>
      <c r="F1305" s="46"/>
      <c r="G1305" s="47"/>
    </row>
    <row r="1306" spans="1:7" x14ac:dyDescent="0.15">
      <c r="A1306" s="27"/>
      <c r="B1306" s="12"/>
      <c r="C1306" s="211"/>
      <c r="D1306" s="47"/>
      <c r="E1306" s="47"/>
      <c r="F1306" s="46"/>
      <c r="G1306" s="47"/>
    </row>
    <row r="1307" spans="1:7" x14ac:dyDescent="0.15">
      <c r="A1307" s="27"/>
      <c r="B1307" s="12"/>
      <c r="C1307" s="211"/>
      <c r="D1307" s="47"/>
      <c r="E1307" s="47"/>
      <c r="F1307" s="46"/>
      <c r="G1307" s="47"/>
    </row>
    <row r="1308" spans="1:7" x14ac:dyDescent="0.15">
      <c r="A1308" s="27"/>
      <c r="B1308" s="12"/>
      <c r="C1308" s="211"/>
      <c r="D1308" s="47"/>
      <c r="E1308" s="47"/>
      <c r="F1308" s="46"/>
      <c r="G1308" s="47"/>
    </row>
    <row r="1309" spans="1:7" x14ac:dyDescent="0.15">
      <c r="A1309" s="27"/>
      <c r="B1309" s="12"/>
      <c r="C1309" s="211"/>
      <c r="D1309" s="47"/>
      <c r="E1309" s="47"/>
      <c r="F1309" s="46"/>
      <c r="G1309" s="47"/>
    </row>
    <row r="1310" spans="1:7" x14ac:dyDescent="0.15">
      <c r="A1310" s="47"/>
      <c r="B1310" s="12"/>
      <c r="C1310" s="211"/>
      <c r="D1310" s="47"/>
      <c r="E1310" s="47"/>
      <c r="F1310" s="46"/>
      <c r="G1310" s="47"/>
    </row>
    <row r="1311" spans="1:7" x14ac:dyDescent="0.15">
      <c r="A1311" s="47"/>
      <c r="B1311" s="12"/>
      <c r="C1311" s="211"/>
      <c r="D1311" s="47"/>
      <c r="E1311" s="47"/>
      <c r="F1311" s="46"/>
      <c r="G1311" s="47"/>
    </row>
    <row r="1312" spans="1:7" x14ac:dyDescent="0.15">
      <c r="A1312" s="47"/>
      <c r="B1312" s="12"/>
      <c r="C1312" s="211"/>
      <c r="D1312" s="47"/>
      <c r="E1312" s="47"/>
      <c r="F1312" s="46"/>
      <c r="G1312" s="47"/>
    </row>
    <row r="1313" spans="1:7" x14ac:dyDescent="0.15">
      <c r="A1313" s="47"/>
      <c r="B1313" s="12"/>
      <c r="C1313" s="211"/>
      <c r="D1313" s="47"/>
      <c r="E1313" s="47"/>
      <c r="F1313" s="46"/>
      <c r="G1313" s="47"/>
    </row>
  </sheetData>
  <sheetProtection selectLockedCells="1"/>
  <mergeCells count="1">
    <mergeCell ref="A2:D2"/>
  </mergeCells>
  <phoneticPr fontId="0" type="noConversion"/>
  <pageMargins left="0.75" right="0.75" top="1" bottom="1" header="0.5" footer="0.5"/>
  <pageSetup scale="77" fitToHeight="0" orientation="portrait" r:id="rId1"/>
  <headerFooter alignWithMargins="0">
    <oddFooter>Page &amp;P of &amp;N</oddFooter>
  </headerFooter>
  <rowBreaks count="17" manualBreakCount="17">
    <brk id="76" max="5" man="1"/>
    <brk id="171" max="5" man="1"/>
    <brk id="247" max="16383" man="1"/>
    <brk id="312" max="16383" man="1"/>
    <brk id="384" max="5" man="1"/>
    <brk id="448" max="16383" man="1"/>
    <brk id="512" max="5" man="1"/>
    <brk id="583" max="5" man="1"/>
    <brk id="649" max="5" man="1"/>
    <brk id="738" max="16383" man="1"/>
    <brk id="798" max="16383" man="1"/>
    <brk id="869" max="5" man="1"/>
    <brk id="931" max="5" man="1"/>
    <brk id="985" max="5" man="1"/>
    <brk id="1045" max="5" man="1"/>
    <brk id="1108" max="5" man="1"/>
    <brk id="1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REMUNERATION</vt:lpstr>
      <vt:lpstr>CAP BUD</vt:lpstr>
      <vt:lpstr>OPERATING BUDGET</vt:lpstr>
    </vt:vector>
  </TitlesOfParts>
  <Company>EDM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Hennie</dc:creator>
  <cp:lastModifiedBy>Microsoft Office User</cp:lastModifiedBy>
  <cp:lastPrinted>2017-08-15T10:14:22Z</cp:lastPrinted>
  <dcterms:created xsi:type="dcterms:W3CDTF">2003-05-07T05:59:03Z</dcterms:created>
  <dcterms:modified xsi:type="dcterms:W3CDTF">2017-09-05T15:18:04Z</dcterms:modified>
</cp:coreProperties>
</file>