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abaso\Desktop\"/>
    </mc:Choice>
  </mc:AlternateContent>
  <workbookProtection workbookPassword="C762" lockStructure="1"/>
  <bookViews>
    <workbookView xWindow="1590" yWindow="-15" windowWidth="10440" windowHeight="5715" tabRatio="595" firstSheet="2" activeTab="3"/>
  </bookViews>
  <sheets>
    <sheet name="COUNCILLORS REMUNERATION" sheetId="39" state="hidden" r:id="rId1"/>
    <sheet name="REMUNERATION" sheetId="11" state="hidden" r:id="rId2"/>
    <sheet name="CAP BUD" sheetId="36" r:id="rId3"/>
    <sheet name="OPERATING BUDGET" sheetId="1" r:id="rId4"/>
    <sheet name="REMUNERATION UNITS" sheetId="38" state="hidden" r:id="rId5"/>
  </sheets>
  <definedNames>
    <definedName name="_xlnm._FilterDatabase" localSheetId="2" hidden="1">'CAP BUD'!$L$1:$L$69</definedName>
    <definedName name="_xlnm.Criteria" localSheetId="2">'CAP BUD'!$B:$K</definedName>
    <definedName name="_xlnm.Print_Area" localSheetId="2">'CAP BUD'!$A$1:$K$70</definedName>
    <definedName name="_xlnm.Print_Area" localSheetId="3">'OPERATING BUDGET'!$A$2:$E$1259</definedName>
    <definedName name="_xlnm.Print_Area" localSheetId="1">REMUNERATION!$A$1:$P$357</definedName>
    <definedName name="_xlnm.Print_Titles" localSheetId="2">'CAP BUD'!$1:$9</definedName>
    <definedName name="_xlnm.Print_Titles" localSheetId="3">'OPERATING BUDGET'!$2:$2</definedName>
    <definedName name="Z_EFD6A600_DB1E_11D3_A0EC_00104BF6519C_.wvu.Cols" localSheetId="2" hidden="1">'CAP BUD'!#REF!,'CAP BUD'!#REF!,'CAP BUD'!#REF!</definedName>
    <definedName name="Z_EFD6A600_DB1E_11D3_A0EC_00104BF6519C_.wvu.PrintTitles" localSheetId="2" hidden="1">'CAP BUD'!$8:$9</definedName>
  </definedNames>
  <calcPr calcId="162913"/>
</workbook>
</file>

<file path=xl/calcChain.xml><?xml version="1.0" encoding="utf-8"?>
<calcChain xmlns="http://schemas.openxmlformats.org/spreadsheetml/2006/main">
  <c r="H10" i="1" l="1"/>
  <c r="E205" i="1" l="1"/>
  <c r="D205" i="1"/>
  <c r="K144" i="11" l="1"/>
  <c r="I144" i="11"/>
  <c r="H144" i="11"/>
  <c r="F144" i="11"/>
  <c r="N144" i="11" s="1"/>
  <c r="M144" i="11" s="1"/>
  <c r="K143" i="11"/>
  <c r="I143" i="11"/>
  <c r="H143" i="11"/>
  <c r="F143" i="11"/>
  <c r="N143" i="11" s="1"/>
  <c r="M143" i="11" s="1"/>
  <c r="K157" i="38"/>
  <c r="I157" i="38"/>
  <c r="H157" i="38"/>
  <c r="F157" i="38"/>
  <c r="N157" i="38" s="1"/>
  <c r="M157" i="38" s="1"/>
  <c r="K156" i="38"/>
  <c r="I156" i="38"/>
  <c r="H156" i="38"/>
  <c r="F156" i="38"/>
  <c r="N156" i="38" s="1"/>
  <c r="M156" i="38" s="1"/>
  <c r="I335" i="38"/>
  <c r="H335" i="38"/>
  <c r="F335" i="38"/>
  <c r="N335" i="38" s="1"/>
  <c r="M335" i="38" s="1"/>
  <c r="I274" i="11"/>
  <c r="H274" i="11"/>
  <c r="F274" i="11"/>
  <c r="N274" i="11" s="1"/>
  <c r="M274" i="11" s="1"/>
  <c r="I112" i="38"/>
  <c r="H112" i="38"/>
  <c r="F112" i="38"/>
  <c r="N112" i="38" s="1"/>
  <c r="M112" i="38" s="1"/>
  <c r="I111" i="38"/>
  <c r="H111" i="38"/>
  <c r="F111" i="38"/>
  <c r="I97" i="11"/>
  <c r="H97" i="11"/>
  <c r="F97" i="11"/>
  <c r="N97" i="11" s="1"/>
  <c r="M97" i="11" s="1"/>
  <c r="I96" i="11"/>
  <c r="H96" i="11"/>
  <c r="F96" i="11"/>
  <c r="N96" i="11" s="1"/>
  <c r="M96" i="11" s="1"/>
  <c r="K280" i="38"/>
  <c r="I280" i="38"/>
  <c r="H280" i="38"/>
  <c r="F280" i="38"/>
  <c r="N280" i="38" s="1"/>
  <c r="K203" i="11"/>
  <c r="I203" i="11"/>
  <c r="H203" i="11"/>
  <c r="F203" i="11"/>
  <c r="N203" i="11" s="1"/>
  <c r="K249" i="38"/>
  <c r="I249" i="38"/>
  <c r="H249" i="38"/>
  <c r="F249" i="38"/>
  <c r="N249" i="38" s="1"/>
  <c r="M249" i="38" s="1"/>
  <c r="K271" i="38"/>
  <c r="I271" i="38"/>
  <c r="H271" i="38"/>
  <c r="F271" i="38"/>
  <c r="N271" i="38" s="1"/>
  <c r="M271" i="38" s="1"/>
  <c r="N221" i="11"/>
  <c r="M221" i="11" s="1"/>
  <c r="K220" i="11"/>
  <c r="I220" i="11"/>
  <c r="H220" i="11"/>
  <c r="F220" i="11"/>
  <c r="N220" i="11" s="1"/>
  <c r="K201" i="11"/>
  <c r="I201" i="11"/>
  <c r="H201" i="11"/>
  <c r="F201" i="11"/>
  <c r="N201" i="11" s="1"/>
  <c r="G143" i="11" l="1"/>
  <c r="E143" i="11" s="1"/>
  <c r="G144" i="11"/>
  <c r="E144" i="11" s="1"/>
  <c r="G156" i="38"/>
  <c r="E156" i="38" s="1"/>
  <c r="G157" i="38"/>
  <c r="E157" i="38" s="1"/>
  <c r="M280" i="38"/>
  <c r="N111" i="38"/>
  <c r="M111" i="38" s="1"/>
  <c r="G111" i="38"/>
  <c r="E111" i="38" s="1"/>
  <c r="G96" i="11"/>
  <c r="M203" i="11"/>
  <c r="G335" i="38"/>
  <c r="E335" i="38" s="1"/>
  <c r="E274" i="11"/>
  <c r="G274" i="11"/>
  <c r="G112" i="38"/>
  <c r="E112" i="38" s="1"/>
  <c r="E96" i="11"/>
  <c r="G97" i="11"/>
  <c r="E97" i="11" s="1"/>
  <c r="G280" i="38"/>
  <c r="E280" i="38" s="1"/>
  <c r="G203" i="11"/>
  <c r="E203" i="11" s="1"/>
  <c r="M201" i="11"/>
  <c r="G201" i="11"/>
  <c r="M220" i="11"/>
  <c r="G249" i="38"/>
  <c r="E249" i="38" s="1"/>
  <c r="G271" i="38"/>
  <c r="E271" i="38" s="1"/>
  <c r="E272" i="38"/>
  <c r="G220" i="11"/>
  <c r="E220" i="11" s="1"/>
  <c r="G221" i="11"/>
  <c r="E221" i="11" s="1"/>
  <c r="I19" i="36"/>
  <c r="E201" i="11" l="1"/>
  <c r="K243" i="11"/>
  <c r="I243" i="11"/>
  <c r="H243" i="11"/>
  <c r="F243" i="11"/>
  <c r="N243" i="11" s="1"/>
  <c r="K334" i="38"/>
  <c r="I334" i="38"/>
  <c r="H334" i="38"/>
  <c r="F334" i="38"/>
  <c r="N334" i="38" s="1"/>
  <c r="K271" i="11"/>
  <c r="I271" i="11"/>
  <c r="H271" i="11"/>
  <c r="F271" i="11"/>
  <c r="N271" i="11" s="1"/>
  <c r="K250" i="38"/>
  <c r="I250" i="38"/>
  <c r="H250" i="38"/>
  <c r="F250" i="38"/>
  <c r="N250" i="38" s="1"/>
  <c r="F265" i="38"/>
  <c r="E265" i="38" s="1"/>
  <c r="F264" i="38"/>
  <c r="E264" i="38" s="1"/>
  <c r="K263" i="38"/>
  <c r="I263" i="38"/>
  <c r="H263" i="38"/>
  <c r="F263" i="38"/>
  <c r="N263" i="38" s="1"/>
  <c r="K262" i="38"/>
  <c r="I262" i="38"/>
  <c r="H262" i="38"/>
  <c r="F262" i="38"/>
  <c r="N262" i="38" s="1"/>
  <c r="K261" i="38"/>
  <c r="I261" i="38"/>
  <c r="H261" i="38"/>
  <c r="F261" i="38"/>
  <c r="N261" i="38" s="1"/>
  <c r="K260" i="38"/>
  <c r="I260" i="38"/>
  <c r="H260" i="38"/>
  <c r="F260" i="38"/>
  <c r="N260" i="38" s="1"/>
  <c r="K259" i="38"/>
  <c r="I259" i="38"/>
  <c r="H259" i="38"/>
  <c r="F259" i="38"/>
  <c r="N259" i="38" s="1"/>
  <c r="E248" i="38"/>
  <c r="K247" i="38"/>
  <c r="I247" i="38"/>
  <c r="H247" i="38"/>
  <c r="F247" i="38"/>
  <c r="N247" i="38" s="1"/>
  <c r="K194" i="11"/>
  <c r="I194" i="11"/>
  <c r="H194" i="11"/>
  <c r="F194" i="11"/>
  <c r="N194" i="11" s="1"/>
  <c r="K151" i="38"/>
  <c r="I151" i="38"/>
  <c r="H151" i="38"/>
  <c r="F151" i="38"/>
  <c r="N151" i="38" s="1"/>
  <c r="K182" i="38"/>
  <c r="I182" i="38"/>
  <c r="H182" i="38"/>
  <c r="F182" i="38"/>
  <c r="N182" i="38" s="1"/>
  <c r="K181" i="38"/>
  <c r="I181" i="38"/>
  <c r="H181" i="38"/>
  <c r="F181" i="38"/>
  <c r="N181" i="38" s="1"/>
  <c r="K179" i="38"/>
  <c r="I179" i="38"/>
  <c r="H179" i="38"/>
  <c r="F179" i="38"/>
  <c r="N179" i="38" s="1"/>
  <c r="K178" i="38"/>
  <c r="I178" i="38"/>
  <c r="H178" i="38"/>
  <c r="F178" i="38"/>
  <c r="N178" i="38" s="1"/>
  <c r="K136" i="38"/>
  <c r="I136" i="38"/>
  <c r="H136" i="38"/>
  <c r="F136" i="38"/>
  <c r="N136" i="38" s="1"/>
  <c r="K122" i="11"/>
  <c r="I122" i="11"/>
  <c r="H122" i="11"/>
  <c r="F122" i="11"/>
  <c r="N122" i="11" s="1"/>
  <c r="K121" i="11"/>
  <c r="I121" i="11"/>
  <c r="H121" i="11"/>
  <c r="F121" i="11"/>
  <c r="N121" i="11" s="1"/>
  <c r="K117" i="11"/>
  <c r="I117" i="11"/>
  <c r="H117" i="11"/>
  <c r="F117" i="11"/>
  <c r="N117" i="11" s="1"/>
  <c r="K110" i="38"/>
  <c r="I110" i="38"/>
  <c r="H110" i="38"/>
  <c r="F110" i="38"/>
  <c r="N110" i="38" s="1"/>
  <c r="K102" i="38"/>
  <c r="I102" i="38"/>
  <c r="H102" i="38"/>
  <c r="F102" i="38"/>
  <c r="N102" i="38" s="1"/>
  <c r="I100" i="38"/>
  <c r="H100" i="38"/>
  <c r="F100" i="38"/>
  <c r="N100" i="38" s="1"/>
  <c r="K98" i="38"/>
  <c r="I98" i="38"/>
  <c r="H98" i="38"/>
  <c r="F98" i="38"/>
  <c r="N98" i="38" s="1"/>
  <c r="K87" i="38"/>
  <c r="I87" i="38"/>
  <c r="H87" i="38"/>
  <c r="F87" i="38"/>
  <c r="N87" i="38" s="1"/>
  <c r="K86" i="38"/>
  <c r="I86" i="38"/>
  <c r="H86" i="38"/>
  <c r="F86" i="38"/>
  <c r="N86" i="38" s="1"/>
  <c r="K85" i="38"/>
  <c r="I85" i="38"/>
  <c r="H85" i="38"/>
  <c r="F85" i="38"/>
  <c r="N85" i="38" s="1"/>
  <c r="K84" i="38"/>
  <c r="I84" i="38"/>
  <c r="H84" i="38"/>
  <c r="F84" i="38"/>
  <c r="G84" i="38" s="1"/>
  <c r="K90" i="11"/>
  <c r="I90" i="11"/>
  <c r="H90" i="11"/>
  <c r="F90" i="11"/>
  <c r="N90" i="11" s="1"/>
  <c r="K89" i="11"/>
  <c r="I89" i="11"/>
  <c r="H89" i="11"/>
  <c r="F89" i="11"/>
  <c r="N89" i="11" s="1"/>
  <c r="K95" i="11"/>
  <c r="I95" i="11"/>
  <c r="H95" i="11"/>
  <c r="F95" i="11"/>
  <c r="N95" i="11" s="1"/>
  <c r="N87" i="11"/>
  <c r="M87" i="11" s="1"/>
  <c r="K373" i="38"/>
  <c r="I373" i="38"/>
  <c r="H373" i="38"/>
  <c r="F373" i="38"/>
  <c r="K312" i="11"/>
  <c r="K408" i="38"/>
  <c r="K299" i="11"/>
  <c r="I299" i="11"/>
  <c r="H299" i="11"/>
  <c r="F299" i="11"/>
  <c r="N299" i="11" s="1"/>
  <c r="K301" i="11"/>
  <c r="I301" i="11"/>
  <c r="H301" i="11"/>
  <c r="F301" i="11"/>
  <c r="N301" i="11" s="1"/>
  <c r="K382" i="38"/>
  <c r="I382" i="38"/>
  <c r="H382" i="38"/>
  <c r="F382" i="38"/>
  <c r="N382" i="38" s="1"/>
  <c r="K378" i="38"/>
  <c r="I378" i="38"/>
  <c r="H378" i="38"/>
  <c r="F378" i="38"/>
  <c r="N378" i="38" s="1"/>
  <c r="I312" i="11"/>
  <c r="H312" i="11"/>
  <c r="F312" i="11"/>
  <c r="N312" i="11" s="1"/>
  <c r="K303" i="11"/>
  <c r="I303" i="11"/>
  <c r="H303" i="11"/>
  <c r="F303" i="11"/>
  <c r="N303" i="11" s="1"/>
  <c r="K302" i="11"/>
  <c r="I302" i="11"/>
  <c r="H302" i="11"/>
  <c r="F302" i="11"/>
  <c r="N302" i="11" s="1"/>
  <c r="N297" i="11"/>
  <c r="M297" i="11" s="1"/>
  <c r="E297" i="11" s="1"/>
  <c r="K37" i="38"/>
  <c r="I37" i="38"/>
  <c r="H37" i="38"/>
  <c r="F37" i="38"/>
  <c r="N37" i="38" s="1"/>
  <c r="K37" i="11"/>
  <c r="I37" i="11"/>
  <c r="H37" i="11"/>
  <c r="F37" i="11"/>
  <c r="N37" i="11" s="1"/>
  <c r="K36" i="38"/>
  <c r="I36" i="38"/>
  <c r="H36" i="38"/>
  <c r="F36" i="38"/>
  <c r="N36" i="38" s="1"/>
  <c r="K307" i="11"/>
  <c r="I307" i="11"/>
  <c r="H307" i="11"/>
  <c r="F307" i="11"/>
  <c r="N307" i="11" s="1"/>
  <c r="K38" i="11"/>
  <c r="I38" i="11"/>
  <c r="H38" i="11"/>
  <c r="F38" i="11"/>
  <c r="N38" i="11" s="1"/>
  <c r="I155" i="38"/>
  <c r="H155" i="38"/>
  <c r="F155" i="38"/>
  <c r="N155" i="38" s="1"/>
  <c r="K154" i="38"/>
  <c r="I154" i="38"/>
  <c r="H154" i="38"/>
  <c r="F154" i="38"/>
  <c r="G154" i="38" s="1"/>
  <c r="I149" i="11"/>
  <c r="H149" i="11"/>
  <c r="F149" i="11"/>
  <c r="N149" i="11" s="1"/>
  <c r="K148" i="11"/>
  <c r="I148" i="11"/>
  <c r="H148" i="11"/>
  <c r="F148" i="11"/>
  <c r="G148" i="11" s="1"/>
  <c r="K143" i="38"/>
  <c r="I143" i="38"/>
  <c r="H143" i="38"/>
  <c r="F143" i="38"/>
  <c r="N143" i="38" s="1"/>
  <c r="K142" i="38"/>
  <c r="I142" i="38"/>
  <c r="H142" i="38"/>
  <c r="F142" i="38"/>
  <c r="N142" i="38" s="1"/>
  <c r="K134" i="11"/>
  <c r="I134" i="11"/>
  <c r="H134" i="11"/>
  <c r="F134" i="11"/>
  <c r="N134" i="11" s="1"/>
  <c r="K133" i="11"/>
  <c r="I133" i="11"/>
  <c r="H133" i="11"/>
  <c r="F133" i="11"/>
  <c r="N133" i="11" s="1"/>
  <c r="K126" i="11"/>
  <c r="I126" i="11"/>
  <c r="H126" i="11"/>
  <c r="F126" i="11"/>
  <c r="N126" i="11" s="1"/>
  <c r="K128" i="11"/>
  <c r="I128" i="11"/>
  <c r="H128" i="11"/>
  <c r="F128" i="11"/>
  <c r="N128" i="11" s="1"/>
  <c r="K188" i="38"/>
  <c r="I188" i="38"/>
  <c r="H188" i="38"/>
  <c r="F188" i="38"/>
  <c r="N188" i="38" s="1"/>
  <c r="K186" i="38"/>
  <c r="I186" i="38"/>
  <c r="H186" i="38"/>
  <c r="F186" i="38"/>
  <c r="N186" i="38" s="1"/>
  <c r="K177" i="38"/>
  <c r="I177" i="38"/>
  <c r="H177" i="38"/>
  <c r="F177" i="38"/>
  <c r="N177" i="38" s="1"/>
  <c r="M243" i="11" l="1"/>
  <c r="M334" i="38"/>
  <c r="G243" i="11"/>
  <c r="E243" i="11" s="1"/>
  <c r="M271" i="11"/>
  <c r="M117" i="11"/>
  <c r="M121" i="11"/>
  <c r="M122" i="11"/>
  <c r="M194" i="11"/>
  <c r="G271" i="11"/>
  <c r="G334" i="38"/>
  <c r="E334" i="38" s="1"/>
  <c r="M250" i="38"/>
  <c r="G250" i="38"/>
  <c r="G247" i="38"/>
  <c r="M259" i="38"/>
  <c r="M261" i="38"/>
  <c r="M263" i="38"/>
  <c r="G181" i="38"/>
  <c r="M247" i="38"/>
  <c r="M260" i="38"/>
  <c r="M262" i="38"/>
  <c r="G259" i="38"/>
  <c r="G260" i="38"/>
  <c r="G261" i="38"/>
  <c r="G262" i="38"/>
  <c r="G263" i="38"/>
  <c r="M182" i="38"/>
  <c r="G194" i="11"/>
  <c r="G182" i="38"/>
  <c r="M151" i="38"/>
  <c r="G151" i="38"/>
  <c r="M178" i="38"/>
  <c r="M179" i="38"/>
  <c r="M181" i="38"/>
  <c r="G179" i="38"/>
  <c r="M110" i="38"/>
  <c r="G178" i="38"/>
  <c r="M136" i="38"/>
  <c r="G136" i="38"/>
  <c r="M102" i="38"/>
  <c r="M100" i="38"/>
  <c r="G122" i="11"/>
  <c r="G121" i="11"/>
  <c r="G117" i="11"/>
  <c r="M95" i="11"/>
  <c r="M89" i="11"/>
  <c r="M90" i="11"/>
  <c r="G110" i="38"/>
  <c r="E110" i="38" s="1"/>
  <c r="M87" i="38"/>
  <c r="M98" i="38"/>
  <c r="G102" i="38"/>
  <c r="G100" i="38"/>
  <c r="G98" i="38"/>
  <c r="M85" i="38"/>
  <c r="M86" i="38"/>
  <c r="G87" i="38"/>
  <c r="G86" i="38"/>
  <c r="G85" i="38"/>
  <c r="E85" i="38" s="1"/>
  <c r="N84" i="38"/>
  <c r="M84" i="38" s="1"/>
  <c r="E84" i="38" s="1"/>
  <c r="G90" i="11"/>
  <c r="G89" i="11"/>
  <c r="G95" i="11"/>
  <c r="G87" i="11"/>
  <c r="E87" i="11" s="1"/>
  <c r="M301" i="11"/>
  <c r="M299" i="11"/>
  <c r="M312" i="11"/>
  <c r="G373" i="38"/>
  <c r="N373" i="38"/>
  <c r="M373" i="38" s="1"/>
  <c r="M155" i="38"/>
  <c r="M378" i="38"/>
  <c r="M382" i="38"/>
  <c r="G299" i="11"/>
  <c r="G301" i="11"/>
  <c r="G382" i="38"/>
  <c r="G378" i="38"/>
  <c r="G312" i="11"/>
  <c r="M302" i="11"/>
  <c r="M303" i="11"/>
  <c r="G303" i="11"/>
  <c r="G302" i="11"/>
  <c r="M307" i="11"/>
  <c r="G37" i="38"/>
  <c r="E37" i="38" s="1"/>
  <c r="G37" i="11"/>
  <c r="E37" i="11" s="1"/>
  <c r="M38" i="11"/>
  <c r="M36" i="38"/>
  <c r="G36" i="38"/>
  <c r="M128" i="11"/>
  <c r="M126" i="11"/>
  <c r="M134" i="11"/>
  <c r="M149" i="11"/>
  <c r="M133" i="11"/>
  <c r="G307" i="11"/>
  <c r="G38" i="11"/>
  <c r="M186" i="38"/>
  <c r="M188" i="38"/>
  <c r="M143" i="38"/>
  <c r="N154" i="38"/>
  <c r="M154" i="38" s="1"/>
  <c r="E154" i="38" s="1"/>
  <c r="M177" i="38"/>
  <c r="M142" i="38"/>
  <c r="G155" i="38"/>
  <c r="N148" i="11"/>
  <c r="M148" i="11" s="1"/>
  <c r="E148" i="11" s="1"/>
  <c r="G149" i="11"/>
  <c r="G142" i="38"/>
  <c r="G143" i="38"/>
  <c r="E143" i="38" s="1"/>
  <c r="G133" i="11"/>
  <c r="G134" i="11"/>
  <c r="G126" i="11"/>
  <c r="G128" i="11"/>
  <c r="G186" i="38"/>
  <c r="G188" i="38"/>
  <c r="G177" i="38"/>
  <c r="E271" i="11" l="1"/>
  <c r="E117" i="11"/>
  <c r="E194" i="11"/>
  <c r="E247" i="38"/>
  <c r="E38" i="11"/>
  <c r="E121" i="11"/>
  <c r="E250" i="38"/>
  <c r="E122" i="11"/>
  <c r="E263" i="38"/>
  <c r="E261" i="38"/>
  <c r="E260" i="38"/>
  <c r="E259" i="38"/>
  <c r="E181" i="38"/>
  <c r="E182" i="38"/>
  <c r="E262" i="38"/>
  <c r="E151" i="38"/>
  <c r="E179" i="38"/>
  <c r="E178" i="38"/>
  <c r="E136" i="38"/>
  <c r="E100" i="38"/>
  <c r="E98" i="38"/>
  <c r="E102" i="38"/>
  <c r="E86" i="38"/>
  <c r="E87" i="38"/>
  <c r="E95" i="11"/>
  <c r="E89" i="11"/>
  <c r="E90" i="11"/>
  <c r="E378" i="38"/>
  <c r="E155" i="38"/>
  <c r="E373" i="38"/>
  <c r="E301" i="11"/>
  <c r="E312" i="11"/>
  <c r="E299" i="11"/>
  <c r="E382" i="38"/>
  <c r="E302" i="11"/>
  <c r="E303" i="11"/>
  <c r="E128" i="11"/>
  <c r="E307" i="11"/>
  <c r="E149" i="11"/>
  <c r="E186" i="38"/>
  <c r="E188" i="38"/>
  <c r="E36" i="38"/>
  <c r="E142" i="38"/>
  <c r="E133" i="11"/>
  <c r="E126" i="11"/>
  <c r="E134" i="11"/>
  <c r="E177" i="38"/>
  <c r="I39" i="36"/>
  <c r="I38" i="36"/>
  <c r="I37" i="36"/>
  <c r="D1085" i="1" l="1"/>
  <c r="I51" i="36" l="1"/>
  <c r="I16" i="36" l="1"/>
  <c r="I15" i="36"/>
  <c r="I53" i="36" l="1"/>
  <c r="I52" i="36"/>
  <c r="I50" i="36"/>
  <c r="I49" i="36"/>
  <c r="I48" i="36"/>
  <c r="I47" i="36"/>
  <c r="I31" i="36"/>
  <c r="I30" i="36"/>
  <c r="I29" i="36"/>
  <c r="I28" i="36"/>
  <c r="I27" i="36"/>
  <c r="I26" i="36"/>
  <c r="K213" i="11" l="1"/>
  <c r="I213" i="11"/>
  <c r="H213" i="11"/>
  <c r="F213" i="11"/>
  <c r="N213" i="11" s="1"/>
  <c r="K212" i="11"/>
  <c r="I212" i="11"/>
  <c r="H212" i="11"/>
  <c r="F212" i="11"/>
  <c r="N212" i="11" s="1"/>
  <c r="K211" i="11"/>
  <c r="I211" i="11"/>
  <c r="H211" i="11"/>
  <c r="F211" i="11"/>
  <c r="N211" i="11" s="1"/>
  <c r="K210" i="11"/>
  <c r="I210" i="11"/>
  <c r="H210" i="11"/>
  <c r="F210" i="11"/>
  <c r="N210" i="11" s="1"/>
  <c r="K209" i="11"/>
  <c r="I209" i="11"/>
  <c r="H209" i="11"/>
  <c r="F209" i="11"/>
  <c r="N209" i="11" s="1"/>
  <c r="K208" i="11"/>
  <c r="I208" i="11"/>
  <c r="H208" i="11"/>
  <c r="F208" i="11"/>
  <c r="N208" i="11" s="1"/>
  <c r="M208" i="11" l="1"/>
  <c r="M209" i="11"/>
  <c r="M211" i="11"/>
  <c r="M213" i="11"/>
  <c r="M210" i="11"/>
  <c r="M212" i="11"/>
  <c r="G209" i="11"/>
  <c r="G210" i="11"/>
  <c r="G211" i="11"/>
  <c r="G212" i="11"/>
  <c r="G213" i="11"/>
  <c r="G208" i="11"/>
  <c r="E208" i="11" s="1"/>
  <c r="I62" i="36"/>
  <c r="I61" i="36"/>
  <c r="I60" i="36"/>
  <c r="E212" i="11" l="1"/>
  <c r="E209" i="11"/>
  <c r="E211" i="11"/>
  <c r="E213" i="11"/>
  <c r="E210" i="11"/>
  <c r="D625" i="1"/>
  <c r="E625" i="1" s="1"/>
  <c r="D624" i="1"/>
  <c r="E624" i="1" s="1"/>
  <c r="D623" i="1"/>
  <c r="E623" i="1" s="1"/>
  <c r="D622" i="1"/>
  <c r="E622" i="1" s="1"/>
  <c r="D621" i="1"/>
  <c r="E621" i="1" s="1"/>
  <c r="D620" i="1"/>
  <c r="E620" i="1" s="1"/>
  <c r="D619" i="1"/>
  <c r="E619" i="1" s="1"/>
  <c r="D614" i="1"/>
  <c r="I63" i="36" l="1"/>
  <c r="I59" i="36"/>
  <c r="C1057" i="1"/>
  <c r="C997" i="1"/>
  <c r="C815" i="1"/>
  <c r="E61" i="39"/>
  <c r="C480" i="1"/>
  <c r="C479" i="1"/>
  <c r="C478" i="1"/>
  <c r="C477" i="1"/>
  <c r="C476" i="1"/>
  <c r="C475" i="1"/>
  <c r="C415" i="1"/>
  <c r="C414" i="1"/>
  <c r="C413" i="1"/>
  <c r="C412" i="1"/>
  <c r="C411" i="1"/>
  <c r="C410" i="1"/>
  <c r="C346" i="1"/>
  <c r="C345" i="1"/>
  <c r="C343" i="1"/>
  <c r="C342" i="1"/>
  <c r="C340" i="1"/>
  <c r="C339" i="1"/>
  <c r="C338" i="1"/>
  <c r="N91" i="39"/>
  <c r="L91" i="39"/>
  <c r="K91" i="39"/>
  <c r="J91" i="39"/>
  <c r="I91" i="39"/>
  <c r="H91" i="39"/>
  <c r="G91" i="39"/>
  <c r="F91" i="39"/>
  <c r="C278" i="1"/>
  <c r="I15" i="39"/>
  <c r="G15" i="39"/>
  <c r="C277" i="1" l="1"/>
  <c r="C276" i="1"/>
  <c r="C275" i="1"/>
  <c r="C274" i="1"/>
  <c r="C273" i="1"/>
  <c r="H132" i="38" l="1"/>
  <c r="H131" i="38"/>
  <c r="H85" i="39"/>
  <c r="G85" i="39"/>
  <c r="H71" i="39"/>
  <c r="G71" i="39"/>
  <c r="N63" i="39"/>
  <c r="M63" i="39"/>
  <c r="L63" i="39"/>
  <c r="K63" i="39"/>
  <c r="J63" i="39"/>
  <c r="I63" i="39"/>
  <c r="H63" i="39"/>
  <c r="G63" i="39"/>
  <c r="F63" i="39"/>
  <c r="E63" i="39"/>
  <c r="E91" i="39" s="1"/>
  <c r="H18" i="39"/>
  <c r="G18" i="39"/>
  <c r="M91" i="39" l="1"/>
  <c r="C344" i="1"/>
  <c r="F432" i="38"/>
  <c r="F431" i="38"/>
  <c r="F427" i="38"/>
  <c r="F430" i="38"/>
  <c r="F429" i="38"/>
  <c r="F428" i="38"/>
  <c r="F426" i="38"/>
  <c r="F425" i="38"/>
  <c r="F424" i="38"/>
  <c r="F423" i="38"/>
  <c r="F411" i="38"/>
  <c r="F410" i="38"/>
  <c r="F409" i="38"/>
  <c r="F408" i="38"/>
  <c r="F407" i="38"/>
  <c r="F403" i="38"/>
  <c r="F402" i="38"/>
  <c r="F401" i="38"/>
  <c r="F400" i="38"/>
  <c r="F396" i="38"/>
  <c r="F395" i="38"/>
  <c r="F390" i="38"/>
  <c r="F388" i="38"/>
  <c r="F377" i="38"/>
  <c r="F376" i="38"/>
  <c r="F375" i="38"/>
  <c r="F374" i="38"/>
  <c r="F366" i="38"/>
  <c r="F365" i="38"/>
  <c r="F364" i="38"/>
  <c r="F352" i="38"/>
  <c r="F304" i="38"/>
  <c r="F350" i="38"/>
  <c r="F341" i="38"/>
  <c r="F340" i="38"/>
  <c r="F339" i="38"/>
  <c r="F333" i="38"/>
  <c r="F332" i="38"/>
  <c r="F331" i="38"/>
  <c r="F327" i="38"/>
  <c r="F319" i="38"/>
  <c r="F318" i="38"/>
  <c r="F316" i="38"/>
  <c r="F306" i="38"/>
  <c r="F305" i="38"/>
  <c r="F303" i="38"/>
  <c r="F298" i="38"/>
  <c r="F297" i="38"/>
  <c r="F351" i="38"/>
  <c r="F296" i="38"/>
  <c r="F293" i="38"/>
  <c r="F292" i="38"/>
  <c r="F279" i="38"/>
  <c r="F258" i="38"/>
  <c r="F257" i="38"/>
  <c r="F256" i="38"/>
  <c r="F255" i="38"/>
  <c r="F254" i="38"/>
  <c r="F253" i="38"/>
  <c r="F252" i="38"/>
  <c r="F251" i="38"/>
  <c r="F246" i="38"/>
  <c r="F270" i="38"/>
  <c r="F245" i="38"/>
  <c r="F240" i="38"/>
  <c r="F239" i="38"/>
  <c r="F238" i="38"/>
  <c r="F237" i="38"/>
  <c r="F218" i="38"/>
  <c r="F217" i="38"/>
  <c r="F212" i="38"/>
  <c r="F211" i="38"/>
  <c r="F207" i="38"/>
  <c r="F206" i="38"/>
  <c r="F199" i="38"/>
  <c r="F180" i="38"/>
  <c r="F176" i="38"/>
  <c r="F175" i="38"/>
  <c r="F170" i="38"/>
  <c r="F169" i="38"/>
  <c r="F168" i="38"/>
  <c r="F167" i="38"/>
  <c r="F166" i="38"/>
  <c r="F161" i="38"/>
  <c r="F160" i="38"/>
  <c r="F159" i="38"/>
  <c r="F158" i="38"/>
  <c r="F153" i="38"/>
  <c r="F152" i="38"/>
  <c r="F150" i="38"/>
  <c r="F149" i="38"/>
  <c r="F148" i="38"/>
  <c r="F147" i="38"/>
  <c r="F146" i="38"/>
  <c r="F145" i="38"/>
  <c r="F144" i="38"/>
  <c r="F132" i="38"/>
  <c r="F131" i="38"/>
  <c r="F121" i="38"/>
  <c r="F120" i="38"/>
  <c r="F119" i="38"/>
  <c r="F118" i="38"/>
  <c r="F117" i="38"/>
  <c r="F109" i="38"/>
  <c r="F105" i="38"/>
  <c r="F103" i="38"/>
  <c r="F101" i="38"/>
  <c r="F99" i="38"/>
  <c r="F97" i="38"/>
  <c r="F96" i="38"/>
  <c r="F91" i="38"/>
  <c r="F90" i="38"/>
  <c r="F89" i="38"/>
  <c r="F83" i="38"/>
  <c r="F82" i="38"/>
  <c r="F78" i="38"/>
  <c r="F76" i="38"/>
  <c r="F75" i="38"/>
  <c r="F70" i="38"/>
  <c r="F61" i="38"/>
  <c r="F60" i="38"/>
  <c r="F59" i="38"/>
  <c r="F58" i="38"/>
  <c r="F57" i="38"/>
  <c r="F56" i="38"/>
  <c r="F55" i="38"/>
  <c r="F47" i="38"/>
  <c r="F38" i="38"/>
  <c r="F35" i="38"/>
  <c r="F34" i="38"/>
  <c r="F33" i="38"/>
  <c r="F32" i="38"/>
  <c r="F25" i="38"/>
  <c r="F15" i="38"/>
  <c r="F14" i="38"/>
  <c r="L78" i="39" l="1"/>
  <c r="K78" i="39"/>
  <c r="J78" i="39"/>
  <c r="I78" i="39"/>
  <c r="G78" i="39"/>
  <c r="F78" i="39"/>
  <c r="L79" i="39"/>
  <c r="K79" i="39"/>
  <c r="J79" i="39"/>
  <c r="I79" i="39"/>
  <c r="G79" i="39"/>
  <c r="F79" i="39"/>
  <c r="L80" i="39"/>
  <c r="K80" i="39"/>
  <c r="J80" i="39"/>
  <c r="I80" i="39"/>
  <c r="G80" i="39"/>
  <c r="F80" i="39"/>
  <c r="L81" i="39"/>
  <c r="K81" i="39"/>
  <c r="J81" i="39"/>
  <c r="I81" i="39"/>
  <c r="G81" i="39"/>
  <c r="F81" i="39"/>
  <c r="L77" i="39"/>
  <c r="K77" i="39"/>
  <c r="J77" i="39"/>
  <c r="I77" i="39"/>
  <c r="G77" i="39"/>
  <c r="F77" i="39"/>
  <c r="L76" i="39"/>
  <c r="K76" i="39"/>
  <c r="J76" i="39"/>
  <c r="I76" i="39"/>
  <c r="G76" i="39"/>
  <c r="F76" i="39"/>
  <c r="L82" i="39"/>
  <c r="K82" i="39"/>
  <c r="J82" i="39"/>
  <c r="I82" i="39"/>
  <c r="G82" i="39"/>
  <c r="F82" i="39"/>
  <c r="I68" i="39"/>
  <c r="F68" i="39"/>
  <c r="L68" i="39"/>
  <c r="K68" i="39"/>
  <c r="J68" i="39"/>
  <c r="G68" i="39"/>
  <c r="I39" i="39"/>
  <c r="L39" i="39"/>
  <c r="F39" i="39"/>
  <c r="K39" i="39"/>
  <c r="J39" i="39"/>
  <c r="G39" i="39"/>
  <c r="I38" i="39"/>
  <c r="F38" i="39"/>
  <c r="L38" i="39"/>
  <c r="K38" i="39"/>
  <c r="J38" i="39"/>
  <c r="H38" i="39"/>
  <c r="F59" i="39"/>
  <c r="E59" i="39" s="1"/>
  <c r="F58" i="39"/>
  <c r="E58" i="39" s="1"/>
  <c r="F57" i="39"/>
  <c r="E57" i="39" s="1"/>
  <c r="F56" i="39"/>
  <c r="E56" i="39" s="1"/>
  <c r="F55" i="39"/>
  <c r="E55" i="39" s="1"/>
  <c r="F54" i="39"/>
  <c r="E54" i="39" s="1"/>
  <c r="F53" i="39"/>
  <c r="E53" i="39" s="1"/>
  <c r="L37" i="39"/>
  <c r="K37" i="39"/>
  <c r="J37" i="39"/>
  <c r="I37" i="39"/>
  <c r="H37" i="39"/>
  <c r="F37" i="39"/>
  <c r="I36" i="39"/>
  <c r="F36" i="39"/>
  <c r="L36" i="39"/>
  <c r="K36" i="39"/>
  <c r="J36" i="39"/>
  <c r="H36" i="39"/>
  <c r="I35" i="39"/>
  <c r="F35" i="39"/>
  <c r="L35" i="39"/>
  <c r="K35" i="39"/>
  <c r="J35" i="39"/>
  <c r="H35" i="39"/>
  <c r="I34" i="39"/>
  <c r="F34" i="39"/>
  <c r="L34" i="39"/>
  <c r="K34" i="39"/>
  <c r="J34" i="39"/>
  <c r="H34" i="39"/>
  <c r="I33" i="39"/>
  <c r="F33" i="39"/>
  <c r="L33" i="39"/>
  <c r="K33" i="39"/>
  <c r="J33" i="39"/>
  <c r="H33" i="39"/>
  <c r="L32" i="39"/>
  <c r="K32" i="39"/>
  <c r="J32" i="39"/>
  <c r="I32" i="39"/>
  <c r="H32" i="39"/>
  <c r="F32" i="39"/>
  <c r="F31" i="39"/>
  <c r="L31" i="39"/>
  <c r="K31" i="39"/>
  <c r="J31" i="39"/>
  <c r="I31" i="39"/>
  <c r="H31" i="39"/>
  <c r="F52" i="39"/>
  <c r="E52" i="39" s="1"/>
  <c r="F51" i="39"/>
  <c r="E51" i="39" s="1"/>
  <c r="F50" i="39"/>
  <c r="E50" i="39" s="1"/>
  <c r="F49" i="39"/>
  <c r="E49" i="39" s="1"/>
  <c r="I24" i="39"/>
  <c r="G24" i="39"/>
  <c r="L24" i="39"/>
  <c r="F24" i="39"/>
  <c r="K24" i="39"/>
  <c r="J24" i="39"/>
  <c r="L30" i="39"/>
  <c r="K30" i="39"/>
  <c r="J30" i="39"/>
  <c r="I30" i="39"/>
  <c r="H30" i="39"/>
  <c r="F30" i="39"/>
  <c r="L29" i="39"/>
  <c r="K29" i="39"/>
  <c r="J29" i="39"/>
  <c r="I29" i="39"/>
  <c r="H29" i="39"/>
  <c r="F29" i="39"/>
  <c r="F48" i="39"/>
  <c r="E48" i="39" s="1"/>
  <c r="I28" i="39"/>
  <c r="F28" i="39"/>
  <c r="L28" i="39"/>
  <c r="K28" i="39"/>
  <c r="J28" i="39"/>
  <c r="H28" i="39"/>
  <c r="F47" i="39"/>
  <c r="E47" i="39" s="1"/>
  <c r="F46" i="39"/>
  <c r="E46" i="39" s="1"/>
  <c r="I27" i="39"/>
  <c r="F27" i="39"/>
  <c r="L27" i="39"/>
  <c r="K27" i="39"/>
  <c r="J27" i="39"/>
  <c r="H27" i="39"/>
  <c r="F43" i="39"/>
  <c r="E43" i="39" s="1"/>
  <c r="F44" i="39"/>
  <c r="E44" i="39" s="1"/>
  <c r="F45" i="39"/>
  <c r="E45" i="39" s="1"/>
  <c r="F40" i="39"/>
  <c r="E40" i="39" s="1"/>
  <c r="E76" i="39" l="1"/>
  <c r="E77" i="39"/>
  <c r="E78" i="39"/>
  <c r="E29" i="39"/>
  <c r="E32" i="39"/>
  <c r="E37" i="39"/>
  <c r="E38" i="39"/>
  <c r="E79" i="39"/>
  <c r="E34" i="39"/>
  <c r="E35" i="39"/>
  <c r="E82" i="39"/>
  <c r="E81" i="39"/>
  <c r="E30" i="39"/>
  <c r="E80" i="39"/>
  <c r="E33" i="39"/>
  <c r="E31" i="39"/>
  <c r="E68" i="39"/>
  <c r="E39" i="39"/>
  <c r="E36" i="39"/>
  <c r="E24" i="39"/>
  <c r="E28" i="39"/>
  <c r="E27" i="39"/>
  <c r="K26" i="39"/>
  <c r="I26" i="39"/>
  <c r="I25" i="39"/>
  <c r="H26" i="39"/>
  <c r="J26" i="39"/>
  <c r="L26" i="39"/>
  <c r="F26" i="39"/>
  <c r="E42" i="39"/>
  <c r="E41" i="39"/>
  <c r="H25" i="39"/>
  <c r="L25" i="39"/>
  <c r="F25" i="39"/>
  <c r="L15" i="39"/>
  <c r="M18" i="39"/>
  <c r="M71" i="39"/>
  <c r="M85" i="39"/>
  <c r="F15" i="39"/>
  <c r="D86" i="39"/>
  <c r="L85" i="39"/>
  <c r="D72" i="39"/>
  <c r="L71" i="39"/>
  <c r="E69" i="39"/>
  <c r="K71" i="39"/>
  <c r="J71" i="39"/>
  <c r="F71" i="39"/>
  <c r="D64" i="39"/>
  <c r="K25" i="39"/>
  <c r="J25" i="39"/>
  <c r="D19" i="39"/>
  <c r="E16" i="39"/>
  <c r="K15" i="39"/>
  <c r="J15" i="39"/>
  <c r="I5" i="39"/>
  <c r="I4" i="39"/>
  <c r="E26" i="39" l="1"/>
  <c r="K85" i="39"/>
  <c r="F85" i="39"/>
  <c r="J18" i="39"/>
  <c r="K18" i="39"/>
  <c r="J85" i="39"/>
  <c r="F18" i="39"/>
  <c r="L18" i="39"/>
  <c r="I71" i="39"/>
  <c r="K238" i="38"/>
  <c r="I238" i="38"/>
  <c r="H238" i="38"/>
  <c r="N238" i="38"/>
  <c r="I85" i="39" l="1"/>
  <c r="E25" i="39"/>
  <c r="I18" i="39"/>
  <c r="M238" i="38"/>
  <c r="G238" i="38"/>
  <c r="H432" i="38"/>
  <c r="H431" i="38"/>
  <c r="H427" i="38"/>
  <c r="H430" i="38"/>
  <c r="H429" i="38"/>
  <c r="H428" i="38"/>
  <c r="H426" i="38"/>
  <c r="H425" i="38"/>
  <c r="H424" i="38"/>
  <c r="H423" i="38"/>
  <c r="H409" i="38"/>
  <c r="H408" i="38"/>
  <c r="H407" i="38"/>
  <c r="H403" i="38"/>
  <c r="H402" i="38"/>
  <c r="H401" i="38"/>
  <c r="H400" i="38"/>
  <c r="H395" i="38"/>
  <c r="H390" i="38"/>
  <c r="H388" i="38"/>
  <c r="H377" i="38"/>
  <c r="H376" i="38"/>
  <c r="H375" i="38"/>
  <c r="H374" i="38"/>
  <c r="H366" i="38"/>
  <c r="H365" i="38"/>
  <c r="H364" i="38"/>
  <c r="H352" i="38"/>
  <c r="H304" i="38"/>
  <c r="H350" i="38"/>
  <c r="H341" i="38"/>
  <c r="H340" i="38"/>
  <c r="H339" i="38"/>
  <c r="H333" i="38"/>
  <c r="H332" i="38"/>
  <c r="H331" i="38"/>
  <c r="H327" i="38"/>
  <c r="H319" i="38"/>
  <c r="H318" i="38"/>
  <c r="H316" i="38"/>
  <c r="H306" i="38"/>
  <c r="H305" i="38"/>
  <c r="H303" i="38"/>
  <c r="H298" i="38"/>
  <c r="H297" i="38"/>
  <c r="H351" i="38"/>
  <c r="H296" i="38"/>
  <c r="H293" i="38"/>
  <c r="H292" i="38"/>
  <c r="H240" i="38"/>
  <c r="H252" i="38"/>
  <c r="H255" i="38"/>
  <c r="H256" i="38"/>
  <c r="H251" i="38"/>
  <c r="H254" i="38"/>
  <c r="H253" i="38"/>
  <c r="H246" i="38"/>
  <c r="H279" i="38"/>
  <c r="H245" i="38"/>
  <c r="H239" i="38"/>
  <c r="H270" i="38"/>
  <c r="H237" i="38"/>
  <c r="H218" i="38"/>
  <c r="H207" i="38"/>
  <c r="H212" i="38"/>
  <c r="H211" i="38"/>
  <c r="H217" i="38"/>
  <c r="H206" i="38"/>
  <c r="H199" i="38"/>
  <c r="H161" i="38"/>
  <c r="H180" i="38"/>
  <c r="H176" i="38"/>
  <c r="H175" i="38"/>
  <c r="H170" i="38"/>
  <c r="H169" i="38"/>
  <c r="H168" i="38"/>
  <c r="H167" i="38"/>
  <c r="H166" i="38"/>
  <c r="H160" i="38"/>
  <c r="H159" i="38"/>
  <c r="H158" i="38"/>
  <c r="H153" i="38"/>
  <c r="H152" i="38"/>
  <c r="H150" i="38"/>
  <c r="H149" i="38"/>
  <c r="H148" i="38"/>
  <c r="H147" i="38"/>
  <c r="H146" i="38"/>
  <c r="H145" i="38"/>
  <c r="H144" i="38"/>
  <c r="H109" i="38"/>
  <c r="H105" i="38"/>
  <c r="H103" i="38"/>
  <c r="H101" i="38"/>
  <c r="H99" i="38"/>
  <c r="H97" i="38"/>
  <c r="H96" i="38"/>
  <c r="H91" i="38"/>
  <c r="H90" i="38"/>
  <c r="H89" i="38"/>
  <c r="H83" i="38"/>
  <c r="H82" i="38"/>
  <c r="H78" i="38"/>
  <c r="H76" i="38"/>
  <c r="H75" i="38"/>
  <c r="H70" i="38"/>
  <c r="H61" i="38"/>
  <c r="H60" i="38"/>
  <c r="H59" i="38"/>
  <c r="H58" i="38"/>
  <c r="H57" i="38"/>
  <c r="H56" i="38"/>
  <c r="H55" i="38"/>
  <c r="H47" i="38"/>
  <c r="H38" i="38"/>
  <c r="H35" i="38"/>
  <c r="H34" i="38"/>
  <c r="H33" i="38"/>
  <c r="H32" i="38"/>
  <c r="H25" i="38"/>
  <c r="H15" i="38"/>
  <c r="H14" i="38"/>
  <c r="K305" i="38"/>
  <c r="I305" i="38"/>
  <c r="N305" i="38"/>
  <c r="G293" i="38"/>
  <c r="I293" i="38"/>
  <c r="K293" i="38"/>
  <c r="E85" i="39" l="1"/>
  <c r="E15" i="39"/>
  <c r="E71" i="39"/>
  <c r="N293" i="38"/>
  <c r="M293" i="38" s="1"/>
  <c r="E293" i="38" s="1"/>
  <c r="E238" i="38"/>
  <c r="M305" i="38"/>
  <c r="G305" i="38"/>
  <c r="K153" i="38"/>
  <c r="I153" i="38"/>
  <c r="N153" i="38"/>
  <c r="I160" i="38"/>
  <c r="N160" i="38"/>
  <c r="K159" i="38"/>
  <c r="I159" i="38"/>
  <c r="G159" i="38"/>
  <c r="K158" i="38"/>
  <c r="I158" i="38"/>
  <c r="N158" i="38"/>
  <c r="I152" i="38"/>
  <c r="N152" i="38"/>
  <c r="I150" i="38"/>
  <c r="N150" i="38"/>
  <c r="K149" i="38"/>
  <c r="I149" i="38"/>
  <c r="N149" i="38"/>
  <c r="K176" i="38"/>
  <c r="I176" i="38"/>
  <c r="N176" i="38"/>
  <c r="K148" i="38"/>
  <c r="I148" i="38"/>
  <c r="N148" i="38"/>
  <c r="K180" i="38"/>
  <c r="I180" i="38"/>
  <c r="N180" i="38"/>
  <c r="I170" i="38"/>
  <c r="N170" i="38"/>
  <c r="I169" i="38"/>
  <c r="N169" i="38"/>
  <c r="K168" i="38"/>
  <c r="I168" i="38"/>
  <c r="N168" i="38"/>
  <c r="K167" i="38"/>
  <c r="I167" i="38"/>
  <c r="N167" i="38"/>
  <c r="K147" i="38"/>
  <c r="I147" i="38"/>
  <c r="N147" i="38"/>
  <c r="K146" i="38"/>
  <c r="I146" i="38"/>
  <c r="N146" i="38"/>
  <c r="K145" i="38"/>
  <c r="I145" i="38"/>
  <c r="N145" i="38"/>
  <c r="K175" i="38"/>
  <c r="I175" i="38"/>
  <c r="N175" i="38"/>
  <c r="K166" i="38"/>
  <c r="I166" i="38"/>
  <c r="N166" i="38"/>
  <c r="K132" i="38"/>
  <c r="I132" i="38"/>
  <c r="N132" i="38"/>
  <c r="K303" i="38"/>
  <c r="I303" i="38"/>
  <c r="N303" i="38"/>
  <c r="K376" i="38"/>
  <c r="I376" i="38"/>
  <c r="N376" i="38"/>
  <c r="K375" i="38"/>
  <c r="I375" i="38"/>
  <c r="N375" i="38"/>
  <c r="E396" i="38"/>
  <c r="I408" i="38"/>
  <c r="N408" i="38"/>
  <c r="K377" i="38"/>
  <c r="I377" i="38"/>
  <c r="N377" i="38"/>
  <c r="E411" i="38"/>
  <c r="E410" i="38"/>
  <c r="K407" i="38"/>
  <c r="I407" i="38"/>
  <c r="N407" i="38"/>
  <c r="I409" i="38"/>
  <c r="N409" i="38"/>
  <c r="I390" i="38"/>
  <c r="N390" i="38"/>
  <c r="K402" i="38"/>
  <c r="I402" i="38"/>
  <c r="N402" i="38"/>
  <c r="I366" i="38"/>
  <c r="N366" i="38"/>
  <c r="K374" i="38"/>
  <c r="I374" i="38"/>
  <c r="N374" i="38"/>
  <c r="I365" i="38"/>
  <c r="G365" i="38"/>
  <c r="P345" i="38"/>
  <c r="O345" i="38"/>
  <c r="L345" i="38"/>
  <c r="J345" i="38"/>
  <c r="K333" i="38"/>
  <c r="I333" i="38"/>
  <c r="N333" i="38"/>
  <c r="K332" i="38"/>
  <c r="I332" i="38"/>
  <c r="N332" i="38"/>
  <c r="I327" i="38"/>
  <c r="N327" i="38"/>
  <c r="K105" i="38"/>
  <c r="I105" i="38"/>
  <c r="N105" i="38"/>
  <c r="K91" i="38"/>
  <c r="I91" i="38"/>
  <c r="N91" i="38"/>
  <c r="K90" i="38"/>
  <c r="I90" i="38"/>
  <c r="G90" i="38"/>
  <c r="K96" i="38"/>
  <c r="I96" i="38"/>
  <c r="N96" i="38"/>
  <c r="K82" i="38"/>
  <c r="I82" i="38"/>
  <c r="N82" i="38"/>
  <c r="K83" i="38"/>
  <c r="I83" i="38"/>
  <c r="N83" i="38"/>
  <c r="K97" i="38"/>
  <c r="I97" i="38"/>
  <c r="N97" i="38"/>
  <c r="I78" i="38"/>
  <c r="N78" i="38"/>
  <c r="K76" i="38"/>
  <c r="I76" i="38"/>
  <c r="N76" i="38"/>
  <c r="K109" i="38"/>
  <c r="I109" i="38"/>
  <c r="N109" i="38"/>
  <c r="F440" i="38"/>
  <c r="E440" i="38"/>
  <c r="P436" i="38"/>
  <c r="O436" i="38"/>
  <c r="L436" i="38"/>
  <c r="J436" i="38"/>
  <c r="E435" i="38"/>
  <c r="E434" i="38"/>
  <c r="E433" i="38"/>
  <c r="K432" i="38"/>
  <c r="I432" i="38"/>
  <c r="G432" i="38"/>
  <c r="I431" i="38"/>
  <c r="K427" i="38"/>
  <c r="I427" i="38"/>
  <c r="I430" i="38"/>
  <c r="G430" i="38"/>
  <c r="K429" i="38"/>
  <c r="I429" i="38"/>
  <c r="N429" i="38"/>
  <c r="K428" i="38"/>
  <c r="I428" i="38"/>
  <c r="N428" i="38"/>
  <c r="K426" i="38"/>
  <c r="I426" i="38"/>
  <c r="N426" i="38"/>
  <c r="K425" i="38"/>
  <c r="I425" i="38"/>
  <c r="N425" i="38"/>
  <c r="K424" i="38"/>
  <c r="I424" i="38"/>
  <c r="G424" i="38"/>
  <c r="K423" i="38"/>
  <c r="I423" i="38"/>
  <c r="D417" i="38"/>
  <c r="P416" i="38"/>
  <c r="O416" i="38"/>
  <c r="L416" i="38"/>
  <c r="J416" i="38"/>
  <c r="E415" i="38"/>
  <c r="E413" i="38"/>
  <c r="E412" i="38"/>
  <c r="K403" i="38"/>
  <c r="I403" i="38"/>
  <c r="N403" i="38"/>
  <c r="K401" i="38"/>
  <c r="I401" i="38"/>
  <c r="N401" i="38"/>
  <c r="K400" i="38"/>
  <c r="I400" i="38"/>
  <c r="N400" i="38"/>
  <c r="K395" i="38"/>
  <c r="I395" i="38"/>
  <c r="N395" i="38"/>
  <c r="K388" i="38"/>
  <c r="I388" i="38"/>
  <c r="N388" i="38"/>
  <c r="K364" i="38"/>
  <c r="I364" i="38"/>
  <c r="G364" i="38"/>
  <c r="N364" i="38"/>
  <c r="D358" i="38"/>
  <c r="L357" i="38"/>
  <c r="J357" i="38"/>
  <c r="E356" i="38"/>
  <c r="E355" i="38"/>
  <c r="E354" i="38"/>
  <c r="E353" i="38"/>
  <c r="K352" i="38"/>
  <c r="I352" i="38"/>
  <c r="K304" i="38"/>
  <c r="I304" i="38"/>
  <c r="K350" i="38"/>
  <c r="I350" i="38"/>
  <c r="E344" i="38"/>
  <c r="E343" i="38"/>
  <c r="K341" i="38"/>
  <c r="I341" i="38"/>
  <c r="K340" i="38"/>
  <c r="I340" i="38"/>
  <c r="N340" i="38"/>
  <c r="K339" i="38"/>
  <c r="I339" i="38"/>
  <c r="N339" i="38"/>
  <c r="K331" i="38"/>
  <c r="I331" i="38"/>
  <c r="D322" i="38"/>
  <c r="L321" i="38"/>
  <c r="J321" i="38"/>
  <c r="E320" i="38"/>
  <c r="K319" i="38"/>
  <c r="I319" i="38"/>
  <c r="N319" i="38"/>
  <c r="K318" i="38"/>
  <c r="I318" i="38"/>
  <c r="N318" i="38"/>
  <c r="K316" i="38"/>
  <c r="I316" i="38"/>
  <c r="P310" i="38"/>
  <c r="O310" i="38"/>
  <c r="L310" i="38"/>
  <c r="J310" i="38"/>
  <c r="E309" i="38"/>
  <c r="E308" i="38"/>
  <c r="E307" i="38"/>
  <c r="K306" i="38"/>
  <c r="I306" i="38"/>
  <c r="G306" i="38"/>
  <c r="K298" i="38"/>
  <c r="I298" i="38"/>
  <c r="G298" i="38"/>
  <c r="K297" i="38"/>
  <c r="I297" i="38"/>
  <c r="G297" i="38"/>
  <c r="K351" i="38"/>
  <c r="I351" i="38"/>
  <c r="G351" i="38"/>
  <c r="K296" i="38"/>
  <c r="I296" i="38"/>
  <c r="G296" i="38"/>
  <c r="K292" i="38"/>
  <c r="I292" i="38"/>
  <c r="G292" i="38"/>
  <c r="D288" i="38"/>
  <c r="P287" i="38"/>
  <c r="O287" i="38"/>
  <c r="L287" i="38"/>
  <c r="J287" i="38"/>
  <c r="E285" i="38"/>
  <c r="E284" i="38"/>
  <c r="E283" i="38"/>
  <c r="I240" i="38"/>
  <c r="N240" i="38"/>
  <c r="E258" i="38"/>
  <c r="E257" i="38"/>
  <c r="K252" i="38"/>
  <c r="I252" i="38"/>
  <c r="N252" i="38"/>
  <c r="K255" i="38"/>
  <c r="I255" i="38"/>
  <c r="N255" i="38"/>
  <c r="K256" i="38"/>
  <c r="I256" i="38"/>
  <c r="N256" i="38"/>
  <c r="K251" i="38"/>
  <c r="I251" i="38"/>
  <c r="N251" i="38"/>
  <c r="K254" i="38"/>
  <c r="I254" i="38"/>
  <c r="N254" i="38"/>
  <c r="K253" i="38"/>
  <c r="I253" i="38"/>
  <c r="N253" i="38"/>
  <c r="K246" i="38"/>
  <c r="I246" i="38"/>
  <c r="N246" i="38"/>
  <c r="K279" i="38"/>
  <c r="I279" i="38"/>
  <c r="N279" i="38"/>
  <c r="K245" i="38"/>
  <c r="I245" i="38"/>
  <c r="N245" i="38"/>
  <c r="K239" i="38"/>
  <c r="I239" i="38"/>
  <c r="N239" i="38"/>
  <c r="K270" i="38"/>
  <c r="I270" i="38"/>
  <c r="K237" i="38"/>
  <c r="I237" i="38"/>
  <c r="G237" i="38"/>
  <c r="P229" i="38"/>
  <c r="O229" i="38"/>
  <c r="L229" i="38"/>
  <c r="J229" i="38"/>
  <c r="E228" i="38"/>
  <c r="E227" i="38"/>
  <c r="E226" i="38"/>
  <c r="F202" i="38"/>
  <c r="E202" i="38" s="1"/>
  <c r="K218" i="38"/>
  <c r="I218" i="38"/>
  <c r="G218" i="38"/>
  <c r="K207" i="38"/>
  <c r="I207" i="38"/>
  <c r="G207" i="38"/>
  <c r="K212" i="38"/>
  <c r="I212" i="38"/>
  <c r="G212" i="38"/>
  <c r="K211" i="38"/>
  <c r="I211" i="38"/>
  <c r="G211" i="38"/>
  <c r="K217" i="38"/>
  <c r="I217" i="38"/>
  <c r="G217" i="38"/>
  <c r="K206" i="38"/>
  <c r="I206" i="38"/>
  <c r="G206" i="38"/>
  <c r="K199" i="38"/>
  <c r="I199" i="38"/>
  <c r="G199" i="38"/>
  <c r="N199" i="38"/>
  <c r="D194" i="38"/>
  <c r="P193" i="38"/>
  <c r="O193" i="38"/>
  <c r="L193" i="38"/>
  <c r="J193" i="38"/>
  <c r="E192" i="38"/>
  <c r="E191" i="38"/>
  <c r="E190" i="38"/>
  <c r="K161" i="38"/>
  <c r="I161" i="38"/>
  <c r="G161" i="38"/>
  <c r="K144" i="38"/>
  <c r="I144" i="38"/>
  <c r="G144" i="38"/>
  <c r="K131" i="38"/>
  <c r="I131" i="38"/>
  <c r="G131" i="38"/>
  <c r="D126" i="38"/>
  <c r="P125" i="38"/>
  <c r="O125" i="38"/>
  <c r="L125" i="38"/>
  <c r="J125" i="38"/>
  <c r="E124" i="38"/>
  <c r="E123" i="38"/>
  <c r="E122" i="38"/>
  <c r="E121" i="38"/>
  <c r="E120" i="38"/>
  <c r="E119" i="38"/>
  <c r="E118" i="38"/>
  <c r="E117" i="38"/>
  <c r="I103" i="38"/>
  <c r="N103" i="38"/>
  <c r="I101" i="38"/>
  <c r="N101" i="38"/>
  <c r="I99" i="38"/>
  <c r="N99" i="38"/>
  <c r="K89" i="38"/>
  <c r="I89" i="38"/>
  <c r="G89" i="38"/>
  <c r="K75" i="38"/>
  <c r="I75" i="38"/>
  <c r="G75" i="38"/>
  <c r="K70" i="38"/>
  <c r="D65" i="38"/>
  <c r="P64" i="38"/>
  <c r="L64" i="38"/>
  <c r="K64" i="38"/>
  <c r="J64" i="38"/>
  <c r="E63" i="38"/>
  <c r="E62" i="38"/>
  <c r="I61" i="38"/>
  <c r="N61" i="38"/>
  <c r="I60" i="38"/>
  <c r="N60" i="38"/>
  <c r="I59" i="38"/>
  <c r="I58" i="38"/>
  <c r="N58" i="38"/>
  <c r="I57" i="38"/>
  <c r="N57" i="38"/>
  <c r="I56" i="38"/>
  <c r="G56" i="38"/>
  <c r="I55" i="38"/>
  <c r="D51" i="38"/>
  <c r="L50" i="38"/>
  <c r="K50" i="38"/>
  <c r="J50" i="38"/>
  <c r="E48" i="38"/>
  <c r="I47" i="38"/>
  <c r="I50" i="38" s="1"/>
  <c r="H50" i="38"/>
  <c r="N47" i="38"/>
  <c r="D42" i="38"/>
  <c r="P41" i="38"/>
  <c r="L41" i="38"/>
  <c r="J41" i="38"/>
  <c r="E40" i="38"/>
  <c r="E39" i="38"/>
  <c r="I38" i="38"/>
  <c r="K35" i="38"/>
  <c r="I35" i="38"/>
  <c r="K34" i="38"/>
  <c r="I34" i="38"/>
  <c r="G34" i="38"/>
  <c r="I33" i="38"/>
  <c r="K32" i="38"/>
  <c r="I32" i="38"/>
  <c r="K25" i="38"/>
  <c r="I25" i="38"/>
  <c r="D21" i="38"/>
  <c r="P20" i="38"/>
  <c r="L20" i="38"/>
  <c r="J20" i="38"/>
  <c r="E19" i="38"/>
  <c r="E18" i="38"/>
  <c r="I15" i="38"/>
  <c r="K14" i="38"/>
  <c r="I14" i="38"/>
  <c r="G4" i="38"/>
  <c r="G3" i="38"/>
  <c r="M408" i="38" l="1"/>
  <c r="E18" i="39"/>
  <c r="E305" i="38"/>
  <c r="M153" i="38"/>
  <c r="M160" i="38"/>
  <c r="M158" i="38"/>
  <c r="M152" i="38"/>
  <c r="M180" i="38"/>
  <c r="M148" i="38"/>
  <c r="M176" i="38"/>
  <c r="M149" i="38"/>
  <c r="M150" i="38"/>
  <c r="G153" i="38"/>
  <c r="G150" i="38"/>
  <c r="M303" i="38"/>
  <c r="M169" i="38"/>
  <c r="N159" i="38"/>
  <c r="M159" i="38" s="1"/>
  <c r="E159" i="38" s="1"/>
  <c r="G160" i="38"/>
  <c r="G158" i="38"/>
  <c r="G152" i="38"/>
  <c r="G149" i="38"/>
  <c r="M170" i="38"/>
  <c r="G176" i="38"/>
  <c r="G148" i="38"/>
  <c r="G180" i="38"/>
  <c r="M132" i="38"/>
  <c r="M166" i="38"/>
  <c r="M175" i="38"/>
  <c r="M145" i="38"/>
  <c r="M146" i="38"/>
  <c r="M147" i="38"/>
  <c r="M167" i="38"/>
  <c r="M168" i="38"/>
  <c r="G170" i="38"/>
  <c r="G169" i="38"/>
  <c r="G168" i="38"/>
  <c r="G167" i="38"/>
  <c r="G146" i="38"/>
  <c r="G147" i="38"/>
  <c r="G145" i="38"/>
  <c r="G175" i="38"/>
  <c r="G166" i="38"/>
  <c r="G132" i="38"/>
  <c r="G303" i="38"/>
  <c r="M407" i="38"/>
  <c r="M375" i="38"/>
  <c r="G376" i="38"/>
  <c r="E376" i="38" s="1"/>
  <c r="G375" i="38"/>
  <c r="M377" i="38"/>
  <c r="G408" i="38"/>
  <c r="G377" i="38"/>
  <c r="M409" i="38"/>
  <c r="G407" i="38"/>
  <c r="G409" i="38"/>
  <c r="I357" i="38"/>
  <c r="M366" i="38"/>
  <c r="M390" i="38"/>
  <c r="G390" i="38"/>
  <c r="G402" i="38"/>
  <c r="E402" i="38" s="1"/>
  <c r="H345" i="38"/>
  <c r="G366" i="38"/>
  <c r="M374" i="38"/>
  <c r="I345" i="38"/>
  <c r="G374" i="38"/>
  <c r="G332" i="38"/>
  <c r="F321" i="38"/>
  <c r="K345" i="38"/>
  <c r="F345" i="38"/>
  <c r="N365" i="38"/>
  <c r="M365" i="38" s="1"/>
  <c r="E365" i="38" s="1"/>
  <c r="M327" i="38"/>
  <c r="M333" i="38"/>
  <c r="M332" i="38"/>
  <c r="M61" i="38"/>
  <c r="F20" i="38"/>
  <c r="G333" i="38"/>
  <c r="G327" i="38"/>
  <c r="H357" i="38"/>
  <c r="M91" i="38"/>
  <c r="M105" i="38"/>
  <c r="G429" i="38"/>
  <c r="M97" i="38"/>
  <c r="M83" i="38"/>
  <c r="M82" i="38"/>
  <c r="M96" i="38"/>
  <c r="N90" i="38"/>
  <c r="M90" i="38" s="1"/>
  <c r="E90" i="38" s="1"/>
  <c r="K357" i="38"/>
  <c r="G105" i="38"/>
  <c r="G91" i="38"/>
  <c r="K41" i="38"/>
  <c r="G388" i="38"/>
  <c r="G401" i="38"/>
  <c r="M245" i="38"/>
  <c r="N316" i="38"/>
  <c r="M316" i="38" s="1"/>
  <c r="G339" i="38"/>
  <c r="G60" i="38"/>
  <c r="M279" i="38"/>
  <c r="G316" i="38"/>
  <c r="H41" i="38"/>
  <c r="G426" i="38"/>
  <c r="M109" i="38"/>
  <c r="M76" i="38"/>
  <c r="I41" i="38"/>
  <c r="G103" i="38"/>
  <c r="G240" i="38"/>
  <c r="G319" i="38"/>
  <c r="G340" i="38"/>
  <c r="E370" i="38"/>
  <c r="E77" i="38"/>
  <c r="M60" i="38"/>
  <c r="K125" i="38"/>
  <c r="G279" i="38"/>
  <c r="G395" i="38"/>
  <c r="M401" i="38"/>
  <c r="M254" i="38"/>
  <c r="M251" i="38"/>
  <c r="M252" i="38"/>
  <c r="M403" i="38"/>
  <c r="K436" i="38"/>
  <c r="I20" i="38"/>
  <c r="M240" i="38"/>
  <c r="K321" i="38"/>
  <c r="G400" i="38"/>
  <c r="G96" i="38"/>
  <c r="M78" i="38"/>
  <c r="G82" i="38"/>
  <c r="G83" i="38"/>
  <c r="G97" i="38"/>
  <c r="G78" i="38"/>
  <c r="G76" i="38"/>
  <c r="G109" i="38"/>
  <c r="G253" i="38"/>
  <c r="N56" i="38"/>
  <c r="M56" i="38" s="1"/>
  <c r="E56" i="38" s="1"/>
  <c r="N75" i="38"/>
  <c r="M75" i="38" s="1"/>
  <c r="E75" i="38" s="1"/>
  <c r="G15" i="38"/>
  <c r="M57" i="38"/>
  <c r="F125" i="38"/>
  <c r="N70" i="38"/>
  <c r="M70" i="38" s="1"/>
  <c r="N89" i="38"/>
  <c r="M89" i="38" s="1"/>
  <c r="E89" i="38" s="1"/>
  <c r="N206" i="38"/>
  <c r="M206" i="38" s="1"/>
  <c r="N212" i="38"/>
  <c r="M212" i="38" s="1"/>
  <c r="E212" i="38" s="1"/>
  <c r="G239" i="38"/>
  <c r="G245" i="38"/>
  <c r="G246" i="38"/>
  <c r="M388" i="38"/>
  <c r="M395" i="38"/>
  <c r="N430" i="38"/>
  <c r="M430" i="38" s="1"/>
  <c r="E430" i="38" s="1"/>
  <c r="N15" i="38"/>
  <c r="M15" i="38" s="1"/>
  <c r="M428" i="38"/>
  <c r="G70" i="38"/>
  <c r="I193" i="38"/>
  <c r="N217" i="38"/>
  <c r="M217" i="38" s="1"/>
  <c r="E217" i="38" s="1"/>
  <c r="N207" i="38"/>
  <c r="M207" i="38" s="1"/>
  <c r="E207" i="38" s="1"/>
  <c r="I310" i="38"/>
  <c r="G318" i="38"/>
  <c r="G331" i="38"/>
  <c r="N331" i="38"/>
  <c r="M331" i="38" s="1"/>
  <c r="M340" i="38"/>
  <c r="M400" i="38"/>
  <c r="G403" i="38"/>
  <c r="K416" i="38"/>
  <c r="N424" i="38"/>
  <c r="M424" i="38" s="1"/>
  <c r="E424" i="38" s="1"/>
  <c r="M426" i="38"/>
  <c r="G428" i="38"/>
  <c r="M429" i="38"/>
  <c r="K193" i="38"/>
  <c r="F229" i="38"/>
  <c r="K229" i="38"/>
  <c r="I229" i="38"/>
  <c r="N211" i="38"/>
  <c r="M211" i="38" s="1"/>
  <c r="E211" i="38" s="1"/>
  <c r="N218" i="38"/>
  <c r="M218" i="38" s="1"/>
  <c r="E218" i="38" s="1"/>
  <c r="K287" i="38"/>
  <c r="K310" i="38"/>
  <c r="M103" i="38"/>
  <c r="M101" i="38"/>
  <c r="M99" i="38"/>
  <c r="G255" i="38"/>
  <c r="G251" i="38"/>
  <c r="H310" i="38"/>
  <c r="H321" i="38"/>
  <c r="H436" i="38"/>
  <c r="H229" i="38"/>
  <c r="H64" i="38"/>
  <c r="H287" i="38"/>
  <c r="G254" i="38"/>
  <c r="G256" i="38"/>
  <c r="G252" i="38"/>
  <c r="N32" i="38"/>
  <c r="M32" i="38" s="1"/>
  <c r="G32" i="38"/>
  <c r="N38" i="38"/>
  <c r="M38" i="38" s="1"/>
  <c r="G38" i="38"/>
  <c r="N14" i="38"/>
  <c r="G14" i="38"/>
  <c r="F64" i="38"/>
  <c r="N55" i="38"/>
  <c r="G55" i="38"/>
  <c r="N59" i="38"/>
  <c r="M59" i="38" s="1"/>
  <c r="G59" i="38"/>
  <c r="E364" i="38"/>
  <c r="K20" i="38"/>
  <c r="N35" i="38"/>
  <c r="M35" i="38" s="1"/>
  <c r="G35" i="38"/>
  <c r="N25" i="38"/>
  <c r="G25" i="38"/>
  <c r="F41" i="38"/>
  <c r="J439" i="38"/>
  <c r="J444" i="38"/>
  <c r="N33" i="38"/>
  <c r="M33" i="38" s="1"/>
  <c r="G33" i="38"/>
  <c r="N34" i="38"/>
  <c r="M34" i="38" s="1"/>
  <c r="E34" i="38" s="1"/>
  <c r="N50" i="38"/>
  <c r="M47" i="38"/>
  <c r="M50" i="38" s="1"/>
  <c r="M58" i="38"/>
  <c r="I64" i="38"/>
  <c r="F50" i="38"/>
  <c r="H125" i="38"/>
  <c r="I125" i="38"/>
  <c r="F193" i="38"/>
  <c r="N131" i="38"/>
  <c r="I287" i="38"/>
  <c r="G47" i="38"/>
  <c r="G58" i="38"/>
  <c r="G101" i="38"/>
  <c r="H20" i="38"/>
  <c r="L444" i="38"/>
  <c r="L439" i="38"/>
  <c r="G57" i="38"/>
  <c r="G61" i="38"/>
  <c r="G99" i="38"/>
  <c r="H193" i="38"/>
  <c r="N270" i="38"/>
  <c r="M270" i="38" s="1"/>
  <c r="G270" i="38"/>
  <c r="N144" i="38"/>
  <c r="M144" i="38" s="1"/>
  <c r="E144" i="38" s="1"/>
  <c r="N161" i="38"/>
  <c r="M161" i="38" s="1"/>
  <c r="E161" i="38" s="1"/>
  <c r="E199" i="38"/>
  <c r="F287" i="38"/>
  <c r="M253" i="38"/>
  <c r="M255" i="38"/>
  <c r="M339" i="38"/>
  <c r="H416" i="38"/>
  <c r="F436" i="38"/>
  <c r="N423" i="38"/>
  <c r="E423" i="38" s="1"/>
  <c r="N237" i="38"/>
  <c r="M239" i="38"/>
  <c r="M246" i="38"/>
  <c r="M256" i="38"/>
  <c r="M319" i="38"/>
  <c r="N341" i="38"/>
  <c r="M341" i="38" s="1"/>
  <c r="G341" i="38"/>
  <c r="N350" i="38"/>
  <c r="M350" i="38" s="1"/>
  <c r="G350" i="38"/>
  <c r="N304" i="38"/>
  <c r="M304" i="38" s="1"/>
  <c r="G304" i="38"/>
  <c r="N352" i="38"/>
  <c r="M352" i="38" s="1"/>
  <c r="G352" i="38"/>
  <c r="F357" i="38"/>
  <c r="I416" i="38"/>
  <c r="N427" i="38"/>
  <c r="M427" i="38" s="1"/>
  <c r="G427" i="38"/>
  <c r="N431" i="38"/>
  <c r="M431" i="38" s="1"/>
  <c r="G431" i="38"/>
  <c r="E281" i="38"/>
  <c r="F310" i="38"/>
  <c r="N292" i="38"/>
  <c r="E292" i="38" s="1"/>
  <c r="I321" i="38"/>
  <c r="F416" i="38"/>
  <c r="I436" i="38"/>
  <c r="N296" i="38"/>
  <c r="M296" i="38" s="1"/>
  <c r="E296" i="38" s="1"/>
  <c r="N351" i="38"/>
  <c r="M351" i="38" s="1"/>
  <c r="E351" i="38" s="1"/>
  <c r="N297" i="38"/>
  <c r="M297" i="38" s="1"/>
  <c r="E297" i="38" s="1"/>
  <c r="N298" i="38"/>
  <c r="M298" i="38" s="1"/>
  <c r="E298" i="38" s="1"/>
  <c r="N306" i="38"/>
  <c r="M306" i="38" s="1"/>
  <c r="E306" i="38" s="1"/>
  <c r="N432" i="38"/>
  <c r="M432" i="38" s="1"/>
  <c r="E432" i="38" s="1"/>
  <c r="G425" i="38"/>
  <c r="E425" i="38" s="1"/>
  <c r="F319" i="11"/>
  <c r="F225" i="11"/>
  <c r="F224" i="11"/>
  <c r="G310" i="38" l="1"/>
  <c r="E152" i="38"/>
  <c r="E160" i="38"/>
  <c r="E375" i="38"/>
  <c r="E407" i="38"/>
  <c r="E153" i="38"/>
  <c r="E149" i="38"/>
  <c r="E148" i="38"/>
  <c r="E303" i="38"/>
  <c r="E158" i="38"/>
  <c r="E132" i="38"/>
  <c r="E180" i="38"/>
  <c r="E176" i="38"/>
  <c r="E169" i="38"/>
  <c r="E150" i="38"/>
  <c r="E145" i="38"/>
  <c r="E170" i="38"/>
  <c r="E175" i="38"/>
  <c r="E147" i="38"/>
  <c r="E146" i="38"/>
  <c r="E166" i="38"/>
  <c r="E168" i="38"/>
  <c r="E167" i="38"/>
  <c r="E408" i="38"/>
  <c r="E377" i="38"/>
  <c r="E366" i="38"/>
  <c r="N321" i="38"/>
  <c r="E409" i="38"/>
  <c r="E390" i="38"/>
  <c r="E61" i="38"/>
  <c r="E429" i="38"/>
  <c r="E374" i="38"/>
  <c r="E403" i="38"/>
  <c r="E400" i="38"/>
  <c r="E339" i="38"/>
  <c r="E332" i="38"/>
  <c r="E327" i="38"/>
  <c r="G345" i="38"/>
  <c r="E395" i="38"/>
  <c r="G321" i="38"/>
  <c r="N345" i="38"/>
  <c r="E333" i="38"/>
  <c r="M345" i="38"/>
  <c r="E254" i="38"/>
  <c r="E83" i="38"/>
  <c r="E240" i="38"/>
  <c r="E96" i="38"/>
  <c r="E251" i="38"/>
  <c r="E76" i="38"/>
  <c r="E78" i="38"/>
  <c r="E109" i="38"/>
  <c r="E105" i="38"/>
  <c r="E91" i="38"/>
  <c r="E304" i="38"/>
  <c r="E341" i="38"/>
  <c r="E97" i="38"/>
  <c r="E279" i="38"/>
  <c r="E401" i="38"/>
  <c r="E340" i="38"/>
  <c r="E82" i="38"/>
  <c r="E200" i="38"/>
  <c r="E388" i="38"/>
  <c r="E278" i="38"/>
  <c r="E244" i="38"/>
  <c r="E427" i="38"/>
  <c r="E352" i="38"/>
  <c r="E318" i="38"/>
  <c r="E60" i="38"/>
  <c r="E103" i="38"/>
  <c r="E246" i="38"/>
  <c r="E245" i="38"/>
  <c r="K444" i="38"/>
  <c r="E319" i="38"/>
  <c r="E252" i="38"/>
  <c r="E426" i="38"/>
  <c r="E428" i="38"/>
  <c r="E239" i="38"/>
  <c r="E350" i="38"/>
  <c r="G193" i="38"/>
  <c r="E33" i="38"/>
  <c r="N229" i="38"/>
  <c r="E253" i="38"/>
  <c r="E57" i="38"/>
  <c r="E15" i="38"/>
  <c r="E70" i="38"/>
  <c r="M436" i="38"/>
  <c r="M321" i="38"/>
  <c r="N416" i="38"/>
  <c r="G416" i="38"/>
  <c r="G436" i="38"/>
  <c r="E431" i="38"/>
  <c r="E270" i="38"/>
  <c r="E269" i="38"/>
  <c r="M229" i="38"/>
  <c r="M416" i="38"/>
  <c r="K439" i="38"/>
  <c r="E38" i="38"/>
  <c r="E101" i="38"/>
  <c r="E255" i="38"/>
  <c r="I444" i="38"/>
  <c r="E99" i="38"/>
  <c r="E32" i="38"/>
  <c r="E256" i="38"/>
  <c r="E59" i="38"/>
  <c r="F444" i="38"/>
  <c r="H444" i="38"/>
  <c r="F439" i="38"/>
  <c r="F441" i="38" s="1"/>
  <c r="M125" i="38"/>
  <c r="E58" i="38"/>
  <c r="E35" i="38"/>
  <c r="M357" i="38"/>
  <c r="N357" i="38"/>
  <c r="G20" i="38"/>
  <c r="E316" i="38"/>
  <c r="N310" i="38"/>
  <c r="G50" i="38"/>
  <c r="E47" i="38"/>
  <c r="E50" i="38" s="1"/>
  <c r="E206" i="38"/>
  <c r="M25" i="38"/>
  <c r="M41" i="38" s="1"/>
  <c r="N41" i="38"/>
  <c r="N64" i="38"/>
  <c r="M55" i="38"/>
  <c r="M64" i="38" s="1"/>
  <c r="M14" i="38"/>
  <c r="N20" i="38"/>
  <c r="I439" i="38"/>
  <c r="H439" i="38"/>
  <c r="M193" i="38"/>
  <c r="G41" i="38"/>
  <c r="G64" i="38"/>
  <c r="M310" i="38"/>
  <c r="N287" i="38"/>
  <c r="E237" i="38"/>
  <c r="N436" i="38"/>
  <c r="G287" i="38"/>
  <c r="L446" i="38"/>
  <c r="G229" i="38"/>
  <c r="G125" i="38"/>
  <c r="J446" i="38"/>
  <c r="G357" i="38"/>
  <c r="E331" i="38"/>
  <c r="M287" i="38"/>
  <c r="N193" i="38"/>
  <c r="E131" i="38"/>
  <c r="N125" i="38"/>
  <c r="E310" i="38" l="1"/>
  <c r="E345" i="38"/>
  <c r="E229" i="38"/>
  <c r="E436" i="38"/>
  <c r="E25" i="38"/>
  <c r="E41" i="38" s="1"/>
  <c r="E416" i="38"/>
  <c r="E321" i="38"/>
  <c r="E55" i="38"/>
  <c r="E64" i="38" s="1"/>
  <c r="E287" i="38"/>
  <c r="K446" i="38"/>
  <c r="E193" i="38"/>
  <c r="E125" i="38"/>
  <c r="F446" i="38"/>
  <c r="N444" i="38"/>
  <c r="G444" i="38"/>
  <c r="M20" i="38"/>
  <c r="M439" i="38" s="1"/>
  <c r="E357" i="38"/>
  <c r="I446" i="38"/>
  <c r="H446" i="38"/>
  <c r="G439" i="38"/>
  <c r="N439" i="38"/>
  <c r="E14" i="38"/>
  <c r="F215" i="11"/>
  <c r="F217" i="11"/>
  <c r="F204" i="11"/>
  <c r="F207" i="11"/>
  <c r="F205" i="11"/>
  <c r="F214" i="11"/>
  <c r="F216" i="11"/>
  <c r="F218" i="11"/>
  <c r="F219" i="11"/>
  <c r="F193" i="11"/>
  <c r="F176" i="11"/>
  <c r="F175" i="11"/>
  <c r="F145" i="11"/>
  <c r="F136" i="11"/>
  <c r="N197" i="11"/>
  <c r="G197" i="11"/>
  <c r="E20" i="38" l="1"/>
  <c r="E439" i="38" s="1"/>
  <c r="N446" i="38"/>
  <c r="G446" i="38"/>
  <c r="M444" i="38"/>
  <c r="M446" i="38" s="1"/>
  <c r="E200" i="11"/>
  <c r="E93" i="11"/>
  <c r="E177" i="11"/>
  <c r="E198" i="11"/>
  <c r="M197" i="11"/>
  <c r="E197" i="11" s="1"/>
  <c r="G196" i="11"/>
  <c r="N196" i="11"/>
  <c r="M196" i="11" s="1"/>
  <c r="H344" i="11"/>
  <c r="H343" i="11"/>
  <c r="H339" i="11"/>
  <c r="H342" i="11"/>
  <c r="H341" i="11"/>
  <c r="H340" i="11"/>
  <c r="H338" i="11"/>
  <c r="H337" i="11"/>
  <c r="H336" i="11"/>
  <c r="H323" i="11"/>
  <c r="H322" i="11"/>
  <c r="H321" i="11"/>
  <c r="H317" i="11"/>
  <c r="H316" i="11"/>
  <c r="H315" i="11"/>
  <c r="H311" i="11"/>
  <c r="H310" i="11"/>
  <c r="H309" i="11"/>
  <c r="H308" i="11"/>
  <c r="H305" i="11"/>
  <c r="H300" i="11"/>
  <c r="H296" i="11"/>
  <c r="H273" i="11"/>
  <c r="H272" i="11"/>
  <c r="H266" i="11"/>
  <c r="H270" i="11"/>
  <c r="H269" i="11"/>
  <c r="H267" i="11"/>
  <c r="H268" i="11"/>
  <c r="H257" i="11"/>
  <c r="H256" i="11"/>
  <c r="H254" i="11"/>
  <c r="H244" i="11"/>
  <c r="H237" i="11"/>
  <c r="H242" i="11"/>
  <c r="H241" i="11"/>
  <c r="H240" i="11"/>
  <c r="H239" i="11"/>
  <c r="H283" i="11"/>
  <c r="H238" i="11"/>
  <c r="H236" i="11"/>
  <c r="H226" i="11"/>
  <c r="H219" i="11"/>
  <c r="H218" i="11"/>
  <c r="H217" i="11"/>
  <c r="H216" i="11"/>
  <c r="H215" i="11"/>
  <c r="H214" i="11"/>
  <c r="H207" i="11"/>
  <c r="H206" i="11"/>
  <c r="H205" i="11"/>
  <c r="H204" i="11"/>
  <c r="H202" i="11"/>
  <c r="H195" i="11"/>
  <c r="H193" i="11"/>
  <c r="H176" i="11"/>
  <c r="H175" i="11"/>
  <c r="H174" i="11"/>
  <c r="H172" i="11"/>
  <c r="H171" i="11"/>
  <c r="H170" i="11"/>
  <c r="H168" i="11"/>
  <c r="H158" i="11"/>
  <c r="H157" i="11"/>
  <c r="H156" i="11"/>
  <c r="H155" i="11"/>
  <c r="H154" i="11"/>
  <c r="H153" i="11"/>
  <c r="H152" i="11"/>
  <c r="H151" i="11"/>
  <c r="H150" i="11"/>
  <c r="H147" i="11"/>
  <c r="H146" i="11"/>
  <c r="H145" i="11"/>
  <c r="H142" i="11"/>
  <c r="H141" i="11"/>
  <c r="H140" i="11"/>
  <c r="H139" i="11"/>
  <c r="H138" i="11"/>
  <c r="H137" i="11"/>
  <c r="H136" i="11"/>
  <c r="H135" i="11"/>
  <c r="H132" i="11"/>
  <c r="H131" i="11"/>
  <c r="H130" i="11"/>
  <c r="H129" i="11"/>
  <c r="H124" i="11"/>
  <c r="H123" i="11"/>
  <c r="H101" i="11"/>
  <c r="H100" i="11"/>
  <c r="H99" i="11"/>
  <c r="H98" i="11"/>
  <c r="H94" i="11"/>
  <c r="H92" i="11"/>
  <c r="H88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1" i="11"/>
  <c r="H62" i="11"/>
  <c r="H61" i="11"/>
  <c r="H60" i="11"/>
  <c r="H59" i="11"/>
  <c r="H58" i="11"/>
  <c r="H57" i="11"/>
  <c r="H56" i="11"/>
  <c r="H39" i="11"/>
  <c r="H36" i="11"/>
  <c r="H35" i="11"/>
  <c r="H34" i="11"/>
  <c r="H33" i="11"/>
  <c r="H26" i="11"/>
  <c r="F339" i="11"/>
  <c r="F340" i="11"/>
  <c r="F266" i="11"/>
  <c r="F337" i="11"/>
  <c r="F341" i="11"/>
  <c r="F342" i="11"/>
  <c r="F338" i="11"/>
  <c r="F336" i="11"/>
  <c r="F344" i="11"/>
  <c r="F343" i="11"/>
  <c r="K295" i="11"/>
  <c r="F295" i="11"/>
  <c r="F308" i="11"/>
  <c r="F296" i="11"/>
  <c r="F322" i="11"/>
  <c r="F320" i="11"/>
  <c r="F311" i="11"/>
  <c r="F323" i="11"/>
  <c r="F317" i="11"/>
  <c r="F318" i="11"/>
  <c r="F321" i="11"/>
  <c r="F309" i="11"/>
  <c r="F310" i="11"/>
  <c r="F305" i="11"/>
  <c r="F300" i="11"/>
  <c r="F316" i="11"/>
  <c r="F315" i="11"/>
  <c r="F244" i="11"/>
  <c r="F239" i="11"/>
  <c r="F283" i="11"/>
  <c r="F238" i="11"/>
  <c r="F237" i="11"/>
  <c r="F241" i="11"/>
  <c r="F240" i="11"/>
  <c r="F242" i="11"/>
  <c r="F236" i="11"/>
  <c r="F269" i="11"/>
  <c r="F61" i="11"/>
  <c r="F335" i="11"/>
  <c r="F268" i="11"/>
  <c r="F270" i="11"/>
  <c r="F272" i="11"/>
  <c r="F267" i="11"/>
  <c r="F273" i="11"/>
  <c r="F257" i="11"/>
  <c r="F256" i="11"/>
  <c r="F254" i="11"/>
  <c r="F195" i="11"/>
  <c r="F223" i="11"/>
  <c r="F222" i="11"/>
  <c r="F226" i="11"/>
  <c r="F202" i="11"/>
  <c r="F206" i="11"/>
  <c r="F168" i="11"/>
  <c r="F171" i="11"/>
  <c r="F181" i="11"/>
  <c r="F174" i="11"/>
  <c r="F170" i="11"/>
  <c r="F172" i="11"/>
  <c r="F155" i="11"/>
  <c r="F153" i="11"/>
  <c r="F152" i="11"/>
  <c r="F157" i="11"/>
  <c r="F151" i="11"/>
  <c r="F60" i="11"/>
  <c r="F132" i="11"/>
  <c r="F123" i="11"/>
  <c r="F139" i="11"/>
  <c r="F158" i="11"/>
  <c r="F116" i="11"/>
  <c r="F150" i="11"/>
  <c r="F146" i="11"/>
  <c r="F124" i="11"/>
  <c r="F135" i="11"/>
  <c r="F137" i="11"/>
  <c r="F156" i="11"/>
  <c r="F142" i="11"/>
  <c r="F129" i="11"/>
  <c r="F131" i="11"/>
  <c r="F154" i="11"/>
  <c r="F130" i="11"/>
  <c r="F138" i="11"/>
  <c r="F141" i="11"/>
  <c r="F94" i="11"/>
  <c r="F85" i="11"/>
  <c r="F101" i="11"/>
  <c r="F98" i="11"/>
  <c r="F104" i="11"/>
  <c r="E104" i="11" s="1"/>
  <c r="F105" i="11"/>
  <c r="F106" i="11"/>
  <c r="F103" i="11"/>
  <c r="F102" i="11"/>
  <c r="F78" i="11"/>
  <c r="F76" i="11"/>
  <c r="F74" i="11"/>
  <c r="F82" i="11"/>
  <c r="F77" i="11"/>
  <c r="F83" i="11"/>
  <c r="F71" i="11"/>
  <c r="F80" i="11"/>
  <c r="F75" i="11"/>
  <c r="F84" i="11"/>
  <c r="F81" i="11"/>
  <c r="F88" i="11"/>
  <c r="F99" i="11"/>
  <c r="F100" i="11"/>
  <c r="F86" i="11"/>
  <c r="F79" i="11"/>
  <c r="F57" i="11"/>
  <c r="F56" i="11"/>
  <c r="F59" i="11"/>
  <c r="F62" i="11"/>
  <c r="F58" i="11"/>
  <c r="F39" i="11"/>
  <c r="F34" i="11"/>
  <c r="F26" i="11"/>
  <c r="F147" i="11"/>
  <c r="F33" i="11"/>
  <c r="K35" i="11"/>
  <c r="I35" i="11"/>
  <c r="F35" i="11"/>
  <c r="G35" i="11" s="1"/>
  <c r="F36" i="11"/>
  <c r="H284" i="11"/>
  <c r="F284" i="11"/>
  <c r="F282" i="11"/>
  <c r="F15" i="11"/>
  <c r="H16" i="11"/>
  <c r="F16" i="11"/>
  <c r="H48" i="11"/>
  <c r="F48" i="11"/>
  <c r="E441" i="38" l="1"/>
  <c r="E444" i="38"/>
  <c r="E446" i="38" s="1"/>
  <c r="E196" i="11"/>
  <c r="N35" i="11"/>
  <c r="M35" i="11" s="1"/>
  <c r="E35" i="11" s="1"/>
  <c r="B72" i="1" l="1"/>
  <c r="C72" i="1"/>
  <c r="D72" i="1"/>
  <c r="E902" i="1"/>
  <c r="E72" i="1" s="1"/>
  <c r="I34" i="11" l="1"/>
  <c r="N34" i="11"/>
  <c r="M34" i="11" l="1"/>
  <c r="G34" i="11"/>
  <c r="E34" i="11" l="1"/>
  <c r="I147" i="11" l="1"/>
  <c r="N147" i="11"/>
  <c r="I146" i="11"/>
  <c r="N146" i="11"/>
  <c r="K145" i="11"/>
  <c r="I145" i="11"/>
  <c r="N145" i="11"/>
  <c r="M145" i="11" l="1"/>
  <c r="M146" i="11"/>
  <c r="M147" i="11"/>
  <c r="G147" i="11"/>
  <c r="G146" i="11"/>
  <c r="G145" i="11"/>
  <c r="E147" i="11" l="1"/>
  <c r="E146" i="11"/>
  <c r="B718" i="1" l="1"/>
  <c r="C481" i="1"/>
  <c r="K311" i="11" l="1"/>
  <c r="K310" i="11"/>
  <c r="K309" i="11"/>
  <c r="K300" i="11"/>
  <c r="K282" i="11"/>
  <c r="K270" i="11"/>
  <c r="K269" i="11"/>
  <c r="K267" i="11"/>
  <c r="K268" i="11"/>
  <c r="K254" i="11"/>
  <c r="K240" i="11"/>
  <c r="K239" i="11"/>
  <c r="K283" i="11"/>
  <c r="K238" i="11"/>
  <c r="K195" i="11"/>
  <c r="K172" i="11"/>
  <c r="K171" i="11"/>
  <c r="K170" i="11"/>
  <c r="K124" i="11"/>
  <c r="K123" i="11"/>
  <c r="K80" i="11"/>
  <c r="K79" i="11"/>
  <c r="K78" i="11"/>
  <c r="K77" i="11"/>
  <c r="K76" i="11"/>
  <c r="K75" i="11"/>
  <c r="K74" i="11"/>
  <c r="K26" i="11"/>
  <c r="K15" i="11"/>
  <c r="C165" i="1"/>
  <c r="E225" i="11"/>
  <c r="E224" i="11"/>
  <c r="D591" i="1"/>
  <c r="D592" i="1"/>
  <c r="B165" i="1"/>
  <c r="C73" i="1"/>
  <c r="B73" i="1"/>
  <c r="H335" i="11" l="1"/>
  <c r="D1020" i="1" l="1"/>
  <c r="E1020" i="1" s="1"/>
  <c r="E106" i="11"/>
  <c r="E105" i="11"/>
  <c r="E103" i="11"/>
  <c r="E102" i="11"/>
  <c r="K335" i="11"/>
  <c r="I335" i="11"/>
  <c r="N335" i="11"/>
  <c r="P348" i="11"/>
  <c r="O348" i="11"/>
  <c r="C1195" i="1" s="1"/>
  <c r="L348" i="11"/>
  <c r="C1204" i="1" s="1"/>
  <c r="J348" i="11"/>
  <c r="H116" i="11"/>
  <c r="K236" i="11"/>
  <c r="H295" i="11"/>
  <c r="I336" i="11"/>
  <c r="K336" i="11"/>
  <c r="I337" i="11"/>
  <c r="I338" i="11"/>
  <c r="I340" i="11"/>
  <c r="I341" i="11"/>
  <c r="I342" i="11"/>
  <c r="I339" i="11"/>
  <c r="I343" i="11"/>
  <c r="I344" i="11"/>
  <c r="E320" i="11"/>
  <c r="E718" i="1" l="1"/>
  <c r="E165" i="1" s="1"/>
  <c r="D165" i="1"/>
  <c r="I348" i="11"/>
  <c r="E335" i="11"/>
  <c r="I273" i="11"/>
  <c r="I272" i="11"/>
  <c r="I266" i="11"/>
  <c r="I270" i="11"/>
  <c r="I269" i="11"/>
  <c r="I267" i="11"/>
  <c r="I268" i="11"/>
  <c r="I257" i="11"/>
  <c r="I256" i="11"/>
  <c r="I254" i="11"/>
  <c r="I244" i="11"/>
  <c r="I237" i="11"/>
  <c r="I242" i="11"/>
  <c r="I241" i="11"/>
  <c r="I240" i="11"/>
  <c r="I239" i="11"/>
  <c r="I283" i="11"/>
  <c r="I238" i="11"/>
  <c r="K193" i="11"/>
  <c r="I226" i="11"/>
  <c r="I219" i="11"/>
  <c r="I218" i="11"/>
  <c r="I217" i="11"/>
  <c r="I216" i="11"/>
  <c r="I215" i="11"/>
  <c r="I214" i="11"/>
  <c r="I207" i="11"/>
  <c r="I206" i="11"/>
  <c r="I205" i="11"/>
  <c r="I204" i="11"/>
  <c r="I202" i="11"/>
  <c r="I195" i="11"/>
  <c r="E181" i="11"/>
  <c r="I48" i="11"/>
  <c r="K168" i="11"/>
  <c r="I176" i="11"/>
  <c r="I175" i="11"/>
  <c r="I174" i="11"/>
  <c r="I172" i="11"/>
  <c r="I171" i="11"/>
  <c r="I170" i="11"/>
  <c r="F140" i="11"/>
  <c r="K135" i="11"/>
  <c r="K116" i="11"/>
  <c r="I158" i="11"/>
  <c r="I157" i="11"/>
  <c r="I156" i="11"/>
  <c r="I155" i="11"/>
  <c r="I154" i="11"/>
  <c r="I153" i="11"/>
  <c r="I152" i="11"/>
  <c r="I151" i="11"/>
  <c r="I150" i="11"/>
  <c r="I141" i="11"/>
  <c r="I140" i="11"/>
  <c r="I139" i="11"/>
  <c r="I138" i="11"/>
  <c r="I137" i="11"/>
  <c r="I136" i="11"/>
  <c r="I135" i="11"/>
  <c r="I132" i="11"/>
  <c r="I131" i="11"/>
  <c r="I130" i="11"/>
  <c r="I129" i="11"/>
  <c r="I124" i="11"/>
  <c r="I123" i="11"/>
  <c r="F92" i="11"/>
  <c r="K88" i="11"/>
  <c r="K81" i="11"/>
  <c r="K71" i="11"/>
  <c r="I101" i="11"/>
  <c r="I100" i="11"/>
  <c r="I99" i="11"/>
  <c r="I98" i="11"/>
  <c r="I94" i="11"/>
  <c r="I92" i="11"/>
  <c r="I88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62" i="11"/>
  <c r="I61" i="11"/>
  <c r="I60" i="11"/>
  <c r="I59" i="11"/>
  <c r="I58" i="11"/>
  <c r="I57" i="11"/>
  <c r="I56" i="11"/>
  <c r="K36" i="11"/>
  <c r="K33" i="11"/>
  <c r="I39" i="11"/>
  <c r="I36" i="11"/>
  <c r="I33" i="11"/>
  <c r="I26" i="11"/>
  <c r="H282" i="11"/>
  <c r="I284" i="11"/>
  <c r="I282" i="11"/>
  <c r="H15" i="11"/>
  <c r="I323" i="11"/>
  <c r="I322" i="11"/>
  <c r="I321" i="11"/>
  <c r="I317" i="11"/>
  <c r="I316" i="11"/>
  <c r="I315" i="11"/>
  <c r="I311" i="11"/>
  <c r="I310" i="11"/>
  <c r="I309" i="11"/>
  <c r="I308" i="11"/>
  <c r="I305" i="11"/>
  <c r="I300" i="11"/>
  <c r="I296" i="11"/>
  <c r="I16" i="11"/>
  <c r="I15" i="11"/>
  <c r="C1255" i="1"/>
  <c r="D1255" i="1" s="1"/>
  <c r="C1254" i="1"/>
  <c r="D1254" i="1" s="1"/>
  <c r="C1233" i="1"/>
  <c r="D1233" i="1" s="1"/>
  <c r="D1218" i="1"/>
  <c r="C1173" i="1"/>
  <c r="C1158" i="1"/>
  <c r="D1150" i="1"/>
  <c r="D1149" i="1"/>
  <c r="C1106" i="1"/>
  <c r="D1106" i="1" s="1"/>
  <c r="C1105" i="1"/>
  <c r="D1105" i="1" s="1"/>
  <c r="C1104" i="1"/>
  <c r="D1104" i="1" s="1"/>
  <c r="C1103" i="1"/>
  <c r="D1103" i="1" s="1"/>
  <c r="C1083" i="1"/>
  <c r="D1083" i="1" s="1"/>
  <c r="E1083" i="1" s="1"/>
  <c r="C1043" i="1"/>
  <c r="D1043" i="1" s="1"/>
  <c r="C1042" i="1"/>
  <c r="D1042" i="1" s="1"/>
  <c r="D1015" i="1"/>
  <c r="C983" i="1"/>
  <c r="D983" i="1" s="1"/>
  <c r="C982" i="1"/>
  <c r="D982" i="1" s="1"/>
  <c r="D959" i="1"/>
  <c r="D958" i="1"/>
  <c r="D956" i="1"/>
  <c r="C929" i="1"/>
  <c r="D929" i="1" s="1"/>
  <c r="D900" i="1"/>
  <c r="C867" i="1"/>
  <c r="D867" i="1" s="1"/>
  <c r="C846" i="1"/>
  <c r="D846" i="1" s="1"/>
  <c r="C844" i="1"/>
  <c r="D844" i="1" s="1"/>
  <c r="D836" i="1"/>
  <c r="D834" i="1"/>
  <c r="D832" i="1"/>
  <c r="C796" i="1"/>
  <c r="C795" i="1"/>
  <c r="C794" i="1"/>
  <c r="C793" i="1"/>
  <c r="C779" i="1"/>
  <c r="C778" i="1"/>
  <c r="D772" i="1"/>
  <c r="D717" i="1"/>
  <c r="E717" i="1" s="1"/>
  <c r="D704" i="1"/>
  <c r="C649" i="1"/>
  <c r="C648" i="1"/>
  <c r="C510" i="1"/>
  <c r="C509" i="1"/>
  <c r="C508" i="1"/>
  <c r="D508" i="1" s="1"/>
  <c r="C495" i="1"/>
  <c r="C494" i="1"/>
  <c r="C493" i="1"/>
  <c r="D486" i="1"/>
  <c r="C445" i="1"/>
  <c r="D445" i="1" s="1"/>
  <c r="C444" i="1"/>
  <c r="D444" i="1" s="1"/>
  <c r="D420" i="1"/>
  <c r="C383" i="1"/>
  <c r="C382" i="1"/>
  <c r="C381" i="1"/>
  <c r="D353" i="1"/>
  <c r="D286" i="1"/>
  <c r="D1253" i="1"/>
  <c r="D1232" i="1"/>
  <c r="D1231" i="1"/>
  <c r="D1225" i="1"/>
  <c r="D1224" i="1"/>
  <c r="D1223" i="1"/>
  <c r="D1222" i="1"/>
  <c r="D1221" i="1"/>
  <c r="D1220" i="1"/>
  <c r="D1219" i="1"/>
  <c r="D1217" i="1"/>
  <c r="D1216" i="1"/>
  <c r="D1215" i="1"/>
  <c r="D1214" i="1"/>
  <c r="D1213" i="1"/>
  <c r="D1212" i="1"/>
  <c r="D1205" i="1"/>
  <c r="D1204" i="1"/>
  <c r="D1199" i="1"/>
  <c r="E1199" i="1" s="1"/>
  <c r="D1173" i="1"/>
  <c r="D1172" i="1"/>
  <c r="D1171" i="1"/>
  <c r="D1157" i="1"/>
  <c r="D1156" i="1"/>
  <c r="D1151" i="1"/>
  <c r="D1148" i="1"/>
  <c r="D1147" i="1"/>
  <c r="D1145" i="1"/>
  <c r="D1144" i="1"/>
  <c r="D1143" i="1"/>
  <c r="D1142" i="1"/>
  <c r="D708" i="1"/>
  <c r="D705" i="1"/>
  <c r="D1141" i="1"/>
  <c r="D1140" i="1"/>
  <c r="D1139" i="1"/>
  <c r="D1138" i="1"/>
  <c r="D1137" i="1"/>
  <c r="D1136" i="1"/>
  <c r="D1125" i="1"/>
  <c r="D1124" i="1"/>
  <c r="D1091" i="1"/>
  <c r="D1090" i="1"/>
  <c r="D1082" i="1"/>
  <c r="D1081" i="1"/>
  <c r="D1080" i="1"/>
  <c r="D1057" i="1"/>
  <c r="D1041" i="1"/>
  <c r="D1028" i="1"/>
  <c r="D1027" i="1"/>
  <c r="D1022" i="1"/>
  <c r="D1021" i="1"/>
  <c r="D1018" i="1"/>
  <c r="D1017" i="1"/>
  <c r="D1016" i="1"/>
  <c r="D1014" i="1"/>
  <c r="D1013" i="1"/>
  <c r="D1002" i="1"/>
  <c r="D1001" i="1"/>
  <c r="D997" i="1"/>
  <c r="D981" i="1"/>
  <c r="D966" i="1"/>
  <c r="D965" i="1"/>
  <c r="D957" i="1"/>
  <c r="D955" i="1"/>
  <c r="D942" i="1"/>
  <c r="D928" i="1"/>
  <c r="D927" i="1"/>
  <c r="D913" i="1"/>
  <c r="D912" i="1"/>
  <c r="D906" i="1"/>
  <c r="D905" i="1"/>
  <c r="D904" i="1"/>
  <c r="D903" i="1"/>
  <c r="D901" i="1"/>
  <c r="D899" i="1"/>
  <c r="D898" i="1"/>
  <c r="D897" i="1"/>
  <c r="D896" i="1"/>
  <c r="D887" i="1"/>
  <c r="D886" i="1"/>
  <c r="D866" i="1"/>
  <c r="D845" i="1"/>
  <c r="D839" i="1"/>
  <c r="D837" i="1"/>
  <c r="D835" i="1"/>
  <c r="D833" i="1"/>
  <c r="D831" i="1"/>
  <c r="D830" i="1"/>
  <c r="D829" i="1"/>
  <c r="D828" i="1"/>
  <c r="D827" i="1"/>
  <c r="D820" i="1"/>
  <c r="D814" i="1"/>
  <c r="D771" i="1"/>
  <c r="D770" i="1"/>
  <c r="D769" i="1"/>
  <c r="D768" i="1"/>
  <c r="D766" i="1"/>
  <c r="D765" i="1"/>
  <c r="D756" i="1"/>
  <c r="D735" i="1"/>
  <c r="D734" i="1"/>
  <c r="D733" i="1"/>
  <c r="D719" i="1"/>
  <c r="D716" i="1"/>
  <c r="D715" i="1"/>
  <c r="D710" i="1"/>
  <c r="D707" i="1"/>
  <c r="D706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73" i="1" s="1"/>
  <c r="D685" i="1"/>
  <c r="D684" i="1"/>
  <c r="D683" i="1"/>
  <c r="D682" i="1"/>
  <c r="D681" i="1"/>
  <c r="D680" i="1"/>
  <c r="D679" i="1"/>
  <c r="D678" i="1"/>
  <c r="D668" i="1"/>
  <c r="D564" i="1"/>
  <c r="D563" i="1"/>
  <c r="D562" i="1"/>
  <c r="D556" i="1"/>
  <c r="D555" i="1"/>
  <c r="D554" i="1"/>
  <c r="D553" i="1"/>
  <c r="D552" i="1"/>
  <c r="D551" i="1"/>
  <c r="D550" i="1"/>
  <c r="D549" i="1"/>
  <c r="D548" i="1"/>
  <c r="D547" i="1"/>
  <c r="D544" i="1"/>
  <c r="D543" i="1"/>
  <c r="D542" i="1"/>
  <c r="D541" i="1"/>
  <c r="E541" i="1" s="1"/>
  <c r="D530" i="1"/>
  <c r="D529" i="1"/>
  <c r="D528" i="1"/>
  <c r="D488" i="1"/>
  <c r="D487" i="1"/>
  <c r="D485" i="1"/>
  <c r="D480" i="1"/>
  <c r="D479" i="1"/>
  <c r="D478" i="1"/>
  <c r="D477" i="1"/>
  <c r="D476" i="1"/>
  <c r="D475" i="1"/>
  <c r="D466" i="1"/>
  <c r="D465" i="1"/>
  <c r="D460" i="1"/>
  <c r="D443" i="1"/>
  <c r="D430" i="1"/>
  <c r="D429" i="1"/>
  <c r="D423" i="1"/>
  <c r="D422" i="1"/>
  <c r="D421" i="1"/>
  <c r="D419" i="1"/>
  <c r="D415" i="1"/>
  <c r="D414" i="1"/>
  <c r="D413" i="1"/>
  <c r="D412" i="1"/>
  <c r="D411" i="1"/>
  <c r="D410" i="1"/>
  <c r="D401" i="1"/>
  <c r="D368" i="1"/>
  <c r="D367" i="1"/>
  <c r="D362" i="1"/>
  <c r="D360" i="1"/>
  <c r="D359" i="1"/>
  <c r="D358" i="1"/>
  <c r="D357" i="1"/>
  <c r="D356" i="1"/>
  <c r="D355" i="1"/>
  <c r="D354" i="1"/>
  <c r="D352" i="1"/>
  <c r="D351" i="1"/>
  <c r="D346" i="1"/>
  <c r="D345" i="1"/>
  <c r="D344" i="1"/>
  <c r="D343" i="1"/>
  <c r="D342" i="1"/>
  <c r="D341" i="1"/>
  <c r="D340" i="1"/>
  <c r="D339" i="1"/>
  <c r="D338" i="1"/>
  <c r="D330" i="1"/>
  <c r="D295" i="1"/>
  <c r="D294" i="1"/>
  <c r="D289" i="1"/>
  <c r="D287" i="1"/>
  <c r="D285" i="1"/>
  <c r="D282" i="1"/>
  <c r="D283" i="1"/>
  <c r="D278" i="1"/>
  <c r="D277" i="1"/>
  <c r="D276" i="1"/>
  <c r="D275" i="1"/>
  <c r="D274" i="1"/>
  <c r="D273" i="1"/>
  <c r="E287" i="11"/>
  <c r="C1060" i="1" s="1"/>
  <c r="D1060" i="1" s="1"/>
  <c r="D815" i="1"/>
  <c r="C399" i="1"/>
  <c r="D399" i="1" s="1"/>
  <c r="C396" i="1"/>
  <c r="N313" i="11" l="1"/>
  <c r="M313" i="11" s="1"/>
  <c r="N61" i="11"/>
  <c r="M61" i="11" s="1"/>
  <c r="N60" i="11"/>
  <c r="M60" i="11" s="1"/>
  <c r="N308" i="11"/>
  <c r="M308" i="11" s="1"/>
  <c r="K339" i="11"/>
  <c r="K341" i="11"/>
  <c r="K340" i="11"/>
  <c r="K315" i="11"/>
  <c r="K305" i="11"/>
  <c r="K241" i="11"/>
  <c r="K242" i="11"/>
  <c r="K244" i="11"/>
  <c r="G308" i="11" l="1"/>
  <c r="E308" i="11" s="1"/>
  <c r="G313" i="11"/>
  <c r="E313" i="11" s="1"/>
  <c r="G61" i="11"/>
  <c r="E61" i="11" s="1"/>
  <c r="G60" i="11"/>
  <c r="E60" i="11" s="1"/>
  <c r="K273" i="11"/>
  <c r="K272" i="11"/>
  <c r="K219" i="11"/>
  <c r="K218" i="11"/>
  <c r="K217" i="11"/>
  <c r="K216" i="11"/>
  <c r="K215" i="11"/>
  <c r="K214" i="11"/>
  <c r="B105" i="1" l="1"/>
  <c r="E668" i="1"/>
  <c r="B603" i="1"/>
  <c r="E466" i="1"/>
  <c r="I18" i="36"/>
  <c r="E223" i="11"/>
  <c r="E222" i="11"/>
  <c r="B128" i="1"/>
  <c r="C128" i="1"/>
  <c r="E701" i="1"/>
  <c r="D128" i="1"/>
  <c r="D57" i="1"/>
  <c r="C57" i="1"/>
  <c r="B57" i="1"/>
  <c r="D778" i="1"/>
  <c r="N321" i="11"/>
  <c r="E319" i="11"/>
  <c r="E318" i="11"/>
  <c r="B141" i="1"/>
  <c r="C141" i="1"/>
  <c r="E355" i="1"/>
  <c r="I40" i="36"/>
  <c r="B238" i="1"/>
  <c r="D177" i="1"/>
  <c r="B95" i="1"/>
  <c r="C95" i="1"/>
  <c r="D95" i="1"/>
  <c r="D779" i="1"/>
  <c r="E703" i="1"/>
  <c r="E106" i="1" s="1"/>
  <c r="E552" i="1"/>
  <c r="E551" i="1"/>
  <c r="E550" i="1"/>
  <c r="D141" i="1"/>
  <c r="E360" i="1"/>
  <c r="C218" i="1"/>
  <c r="B218" i="1"/>
  <c r="C603" i="1"/>
  <c r="C1071" i="1"/>
  <c r="D1071" i="1" s="1"/>
  <c r="F348" i="11"/>
  <c r="G151" i="11"/>
  <c r="E1187" i="1"/>
  <c r="D1187" i="1"/>
  <c r="C1187" i="1"/>
  <c r="B1187" i="1"/>
  <c r="E1112" i="1"/>
  <c r="D1112" i="1"/>
  <c r="C1112" i="1"/>
  <c r="B1112" i="1"/>
  <c r="E1049" i="1"/>
  <c r="D1049" i="1"/>
  <c r="C1049" i="1"/>
  <c r="B1049" i="1"/>
  <c r="E989" i="1"/>
  <c r="E935" i="1"/>
  <c r="D935" i="1"/>
  <c r="C935" i="1"/>
  <c r="B935" i="1"/>
  <c r="E872" i="1"/>
  <c r="E801" i="1"/>
  <c r="E741" i="1"/>
  <c r="E655" i="1"/>
  <c r="E516" i="1"/>
  <c r="E452" i="1"/>
  <c r="E388" i="1"/>
  <c r="D388" i="1"/>
  <c r="C388" i="1"/>
  <c r="B388" i="1"/>
  <c r="E316" i="1"/>
  <c r="E145" i="11" l="1"/>
  <c r="M321" i="11"/>
  <c r="G321" i="11"/>
  <c r="D106" i="1"/>
  <c r="N337" i="11"/>
  <c r="K337" i="11"/>
  <c r="G337" i="11"/>
  <c r="K141" i="11"/>
  <c r="G141" i="11"/>
  <c r="N141" i="11"/>
  <c r="E321" i="11" l="1"/>
  <c r="E337" i="11"/>
  <c r="M141" i="11"/>
  <c r="E141" i="11" s="1"/>
  <c r="K132" i="11"/>
  <c r="G132" i="11"/>
  <c r="I67" i="36"/>
  <c r="N132" i="11" l="1"/>
  <c r="M132" i="11" s="1"/>
  <c r="E132" i="11" s="1"/>
  <c r="B136" i="1"/>
  <c r="E344" i="1"/>
  <c r="E341" i="1"/>
  <c r="E343" i="1"/>
  <c r="E543" i="1"/>
  <c r="E957" i="1"/>
  <c r="E57" i="1" s="1"/>
  <c r="E545" i="1"/>
  <c r="E705" i="1"/>
  <c r="E695" i="1"/>
  <c r="E694" i="1"/>
  <c r="E693" i="1"/>
  <c r="E692" i="1"/>
  <c r="E691" i="1"/>
  <c r="E690" i="1"/>
  <c r="E689" i="1"/>
  <c r="E688" i="1"/>
  <c r="E687" i="1"/>
  <c r="E686" i="1"/>
  <c r="E73" i="1" s="1"/>
  <c r="E685" i="1"/>
  <c r="E684" i="1"/>
  <c r="B56" i="1"/>
  <c r="C56" i="1"/>
  <c r="O162" i="11"/>
  <c r="C663" i="1" s="1"/>
  <c r="E160" i="11"/>
  <c r="O185" i="11"/>
  <c r="C749" i="1" s="1"/>
  <c r="E183" i="11"/>
  <c r="O231" i="11"/>
  <c r="C809" i="1" s="1"/>
  <c r="E228" i="11"/>
  <c r="O248" i="11"/>
  <c r="C880" i="1" s="1"/>
  <c r="E246" i="11"/>
  <c r="E346" i="11"/>
  <c r="D1195" i="1" s="1"/>
  <c r="O110" i="11"/>
  <c r="C524" i="1" s="1"/>
  <c r="E108" i="11"/>
  <c r="E708" i="1"/>
  <c r="D329" i="11"/>
  <c r="E324" i="11"/>
  <c r="N323" i="11"/>
  <c r="P328" i="11"/>
  <c r="O328" i="11"/>
  <c r="C1120" i="1" s="1"/>
  <c r="L328" i="11"/>
  <c r="C1130" i="1" s="1"/>
  <c r="D1130" i="1" s="1"/>
  <c r="J328" i="11"/>
  <c r="C1128" i="1" s="1"/>
  <c r="D1128" i="1" s="1"/>
  <c r="N305" i="11"/>
  <c r="G300" i="11"/>
  <c r="N296" i="11"/>
  <c r="M296" i="11" s="1"/>
  <c r="I295" i="11"/>
  <c r="G295" i="11"/>
  <c r="K98" i="11"/>
  <c r="N98" i="11"/>
  <c r="D43" i="11"/>
  <c r="G311" i="11"/>
  <c r="N39" i="11"/>
  <c r="M39" i="11" s="1"/>
  <c r="K176" i="11"/>
  <c r="N176" i="11"/>
  <c r="K139" i="11"/>
  <c r="N139" i="11"/>
  <c r="G123" i="11"/>
  <c r="C105" i="1"/>
  <c r="D105" i="1"/>
  <c r="I17" i="36"/>
  <c r="K338" i="11"/>
  <c r="K92" i="11"/>
  <c r="G92" i="11"/>
  <c r="C87" i="1"/>
  <c r="B87" i="1"/>
  <c r="E904" i="1"/>
  <c r="E95" i="1" s="1"/>
  <c r="D1120" i="1" l="1"/>
  <c r="D809" i="1"/>
  <c r="D663" i="1"/>
  <c r="D524" i="1"/>
  <c r="D880" i="1"/>
  <c r="D749" i="1"/>
  <c r="M305" i="11"/>
  <c r="M139" i="11"/>
  <c r="M98" i="11"/>
  <c r="G305" i="11"/>
  <c r="G296" i="11"/>
  <c r="E296" i="11" s="1"/>
  <c r="G98" i="11"/>
  <c r="G323" i="11"/>
  <c r="M323" i="11"/>
  <c r="N300" i="11"/>
  <c r="M300" i="11" s="1"/>
  <c r="E300" i="11" s="1"/>
  <c r="N295" i="11"/>
  <c r="E295" i="11" s="1"/>
  <c r="G39" i="11"/>
  <c r="E39" i="11" s="1"/>
  <c r="N311" i="11"/>
  <c r="M311" i="11" s="1"/>
  <c r="E311" i="11" s="1"/>
  <c r="M176" i="11"/>
  <c r="G139" i="11"/>
  <c r="G176" i="11"/>
  <c r="N123" i="11"/>
  <c r="M123" i="11" s="1"/>
  <c r="E123" i="11" s="1"/>
  <c r="E105" i="1"/>
  <c r="N92" i="11"/>
  <c r="M92" i="11" s="1"/>
  <c r="E92" i="11" s="1"/>
  <c r="E1222" i="1"/>
  <c r="E1137" i="1"/>
  <c r="E1085" i="1"/>
  <c r="E1017" i="1"/>
  <c r="E898" i="1"/>
  <c r="E814" i="1"/>
  <c r="E702" i="1"/>
  <c r="E696" i="1"/>
  <c r="E591" i="1"/>
  <c r="D56" i="1"/>
  <c r="E305" i="11" l="1"/>
  <c r="E176" i="11"/>
  <c r="E139" i="11"/>
  <c r="E98" i="11"/>
  <c r="E323" i="11"/>
  <c r="C136" i="1"/>
  <c r="E136" i="1"/>
  <c r="C198" i="1"/>
  <c r="B198" i="1"/>
  <c r="D136" i="1" l="1"/>
  <c r="D613" i="1"/>
  <c r="B106" i="1"/>
  <c r="B54" i="1"/>
  <c r="E198" i="1" l="1"/>
  <c r="D198" i="1"/>
  <c r="E94" i="1"/>
  <c r="D94" i="1"/>
  <c r="C94" i="1"/>
  <c r="B94" i="1"/>
  <c r="E900" i="1"/>
  <c r="E899" i="1"/>
  <c r="B711" i="1"/>
  <c r="B208" i="1"/>
  <c r="C205" i="1"/>
  <c r="B205" i="1"/>
  <c r="E190" i="1"/>
  <c r="D190" i="1"/>
  <c r="C190" i="1"/>
  <c r="B190" i="1"/>
  <c r="E362" i="1"/>
  <c r="E141" i="1"/>
  <c r="E359" i="1"/>
  <c r="E358" i="1"/>
  <c r="E357" i="1"/>
  <c r="E356" i="1"/>
  <c r="E354" i="1"/>
  <c r="E353" i="1"/>
  <c r="E352" i="1"/>
  <c r="E347" i="11"/>
  <c r="C1198" i="1" s="1"/>
  <c r="D1198" i="1" s="1"/>
  <c r="E345" i="11"/>
  <c r="L277" i="11"/>
  <c r="C1007" i="1" s="1"/>
  <c r="D1007" i="1" s="1"/>
  <c r="J277" i="11"/>
  <c r="C1005" i="1" s="1"/>
  <c r="D1005" i="1" s="1"/>
  <c r="L288" i="11"/>
  <c r="C1065" i="1" s="1"/>
  <c r="D1065" i="1" s="1"/>
  <c r="J288" i="11"/>
  <c r="C1063" i="1" s="1"/>
  <c r="D1063" i="1" s="1"/>
  <c r="F328" i="11" l="1"/>
  <c r="C1118" i="1" s="1"/>
  <c r="D1118" i="1" s="1"/>
  <c r="F288" i="11"/>
  <c r="C1055" i="1" s="1"/>
  <c r="D1055" i="1" s="1"/>
  <c r="D189" i="1"/>
  <c r="E592" i="1" l="1"/>
  <c r="E191" i="1" s="1"/>
  <c r="D191" i="1"/>
  <c r="E590" i="1"/>
  <c r="E189" i="1" s="1"/>
  <c r="E554" i="1" l="1"/>
  <c r="N310" i="11"/>
  <c r="G309" i="11"/>
  <c r="N309" i="11"/>
  <c r="K257" i="11"/>
  <c r="N257" i="11"/>
  <c r="N77" i="11"/>
  <c r="M77" i="11" s="1"/>
  <c r="N172" i="11"/>
  <c r="N282" i="11"/>
  <c r="I142" i="11"/>
  <c r="N142" i="11"/>
  <c r="K156" i="11"/>
  <c r="N156" i="11"/>
  <c r="N269" i="11"/>
  <c r="M142" i="11" l="1"/>
  <c r="M309" i="11"/>
  <c r="E309" i="11" s="1"/>
  <c r="M310" i="11"/>
  <c r="M257" i="11"/>
  <c r="G310" i="11"/>
  <c r="G257" i="11"/>
  <c r="G77" i="11"/>
  <c r="E77" i="11" s="1"/>
  <c r="M172" i="11"/>
  <c r="G172" i="11"/>
  <c r="M282" i="11"/>
  <c r="G282" i="11"/>
  <c r="G142" i="11"/>
  <c r="M269" i="11"/>
  <c r="M156" i="11"/>
  <c r="G156" i="11"/>
  <c r="G269" i="11"/>
  <c r="B71" i="1"/>
  <c r="E142" i="11" l="1"/>
  <c r="E310" i="11"/>
  <c r="E282" i="11"/>
  <c r="E257" i="11"/>
  <c r="E172" i="11"/>
  <c r="E269" i="11"/>
  <c r="E156" i="11"/>
  <c r="E54" i="1"/>
  <c r="D54" i="1"/>
  <c r="E235" i="1"/>
  <c r="D235" i="1"/>
  <c r="I14" i="36"/>
  <c r="C106" i="1"/>
  <c r="C54" i="1"/>
  <c r="C121" i="1"/>
  <c r="I20" i="36"/>
  <c r="I13" i="36"/>
  <c r="D32" i="36"/>
  <c r="E238" i="1"/>
  <c r="D238" i="1"/>
  <c r="E177" i="1"/>
  <c r="B207" i="1"/>
  <c r="C238" i="1"/>
  <c r="B797" i="1"/>
  <c r="B786" i="1" s="1"/>
  <c r="B1093" i="1"/>
  <c r="C290" i="1"/>
  <c r="B609" i="1"/>
  <c r="C609" i="1"/>
  <c r="D609" i="1"/>
  <c r="E609" i="1"/>
  <c r="E234" i="1"/>
  <c r="D234" i="1"/>
  <c r="B36" i="1"/>
  <c r="B643" i="1"/>
  <c r="B17" i="1"/>
  <c r="B18" i="1"/>
  <c r="B19" i="1"/>
  <c r="B21" i="1"/>
  <c r="B23" i="1"/>
  <c r="B24" i="1"/>
  <c r="B25" i="1"/>
  <c r="B27" i="1"/>
  <c r="B28" i="1"/>
  <c r="B34" i="1"/>
  <c r="B35" i="1"/>
  <c r="B37" i="1"/>
  <c r="B38" i="1"/>
  <c r="B39" i="1"/>
  <c r="B40" i="1"/>
  <c r="B41" i="1"/>
  <c r="B42" i="1"/>
  <c r="B43" i="1"/>
  <c r="B49" i="1"/>
  <c r="B50" i="1"/>
  <c r="B51" i="1"/>
  <c r="B52" i="1"/>
  <c r="B53" i="1"/>
  <c r="B55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6" i="1"/>
  <c r="B97" i="1"/>
  <c r="B98" i="1"/>
  <c r="B99" i="1"/>
  <c r="B100" i="1"/>
  <c r="B101" i="1"/>
  <c r="B102" i="1"/>
  <c r="B103" i="1"/>
  <c r="B104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9" i="1"/>
  <c r="B130" i="1"/>
  <c r="B131" i="1"/>
  <c r="B132" i="1"/>
  <c r="B133" i="1"/>
  <c r="B134" i="1"/>
  <c r="B135" i="1"/>
  <c r="B137" i="1"/>
  <c r="B138" i="1"/>
  <c r="B139" i="1"/>
  <c r="B140" i="1"/>
  <c r="B142" i="1"/>
  <c r="B143" i="1"/>
  <c r="B144" i="1"/>
  <c r="B145" i="1"/>
  <c r="B146" i="1"/>
  <c r="B148" i="1"/>
  <c r="B149" i="1"/>
  <c r="B150" i="1"/>
  <c r="B151" i="1"/>
  <c r="B152" i="1"/>
  <c r="B153" i="1"/>
  <c r="B154" i="1"/>
  <c r="B155" i="1"/>
  <c r="B156" i="1"/>
  <c r="B157" i="1"/>
  <c r="B162" i="1"/>
  <c r="B163" i="1"/>
  <c r="B164" i="1"/>
  <c r="B166" i="1"/>
  <c r="B175" i="1"/>
  <c r="B176" i="1"/>
  <c r="B177" i="1"/>
  <c r="B178" i="1"/>
  <c r="B188" i="1"/>
  <c r="B189" i="1"/>
  <c r="B191" i="1"/>
  <c r="B197" i="1"/>
  <c r="B199" i="1" s="1"/>
  <c r="B203" i="1"/>
  <c r="B204" i="1"/>
  <c r="B206" i="1"/>
  <c r="B209" i="1"/>
  <c r="B214" i="1"/>
  <c r="B215" i="1"/>
  <c r="B216" i="1"/>
  <c r="B217" i="1"/>
  <c r="B223" i="1"/>
  <c r="B225" i="1" s="1"/>
  <c r="B233" i="1"/>
  <c r="B234" i="1"/>
  <c r="B235" i="1"/>
  <c r="B236" i="1"/>
  <c r="B243" i="1"/>
  <c r="B244" i="1"/>
  <c r="B245" i="1"/>
  <c r="B246" i="1"/>
  <c r="B250" i="1"/>
  <c r="B251" i="1"/>
  <c r="B279" i="1"/>
  <c r="B290" i="1"/>
  <c r="B297" i="1"/>
  <c r="B312" i="1"/>
  <c r="B301" i="1" s="1"/>
  <c r="B315" i="1"/>
  <c r="B316" i="1"/>
  <c r="B347" i="1"/>
  <c r="B363" i="1"/>
  <c r="B370" i="1"/>
  <c r="B385" i="1"/>
  <c r="B374" i="1" s="1"/>
  <c r="B416" i="1"/>
  <c r="B425" i="1"/>
  <c r="B432" i="1"/>
  <c r="B447" i="1"/>
  <c r="B436" i="1" s="1"/>
  <c r="B451" i="1"/>
  <c r="B452" i="1"/>
  <c r="B481" i="1"/>
  <c r="B489" i="1"/>
  <c r="B497" i="1"/>
  <c r="B512" i="1"/>
  <c r="B501" i="1" s="1"/>
  <c r="B515" i="1"/>
  <c r="B516" i="1"/>
  <c r="B558" i="1"/>
  <c r="B566" i="1"/>
  <c r="B580" i="1"/>
  <c r="B1268" i="1" s="1"/>
  <c r="B594" i="1"/>
  <c r="B615" i="1"/>
  <c r="B627" i="1"/>
  <c r="B651" i="1"/>
  <c r="B571" i="1" s="1"/>
  <c r="B654" i="1"/>
  <c r="B655" i="1"/>
  <c r="B721" i="1"/>
  <c r="B737" i="1"/>
  <c r="B726" i="1" s="1"/>
  <c r="B740" i="1"/>
  <c r="B741" i="1"/>
  <c r="B774" i="1"/>
  <c r="B781" i="1"/>
  <c r="B800" i="1"/>
  <c r="B801" i="1"/>
  <c r="B840" i="1"/>
  <c r="B848" i="1"/>
  <c r="B862" i="1"/>
  <c r="B869" i="1"/>
  <c r="B853" i="1" s="1"/>
  <c r="B871" i="1"/>
  <c r="B872" i="1"/>
  <c r="B908" i="1"/>
  <c r="B915" i="1"/>
  <c r="B931" i="1"/>
  <c r="B920" i="1" s="1"/>
  <c r="B961" i="1"/>
  <c r="B968" i="1"/>
  <c r="B985" i="1"/>
  <c r="B974" i="1" s="1"/>
  <c r="B989" i="1"/>
  <c r="B1023" i="1"/>
  <c r="B1030" i="1"/>
  <c r="B1045" i="1"/>
  <c r="B1035" i="1" s="1"/>
  <c r="B1077" i="1"/>
  <c r="B1086" i="1"/>
  <c r="B1108" i="1"/>
  <c r="B1097" i="1" s="1"/>
  <c r="B1152" i="1"/>
  <c r="B1160" i="1"/>
  <c r="B1175" i="1"/>
  <c r="B1165" i="1" s="1"/>
  <c r="B1227" i="1"/>
  <c r="B1235" i="1"/>
  <c r="B1249" i="1"/>
  <c r="B1257" i="1"/>
  <c r="B1240" i="1" s="1"/>
  <c r="C36" i="1"/>
  <c r="E1221" i="1"/>
  <c r="E886" i="1"/>
  <c r="C120" i="1"/>
  <c r="E958" i="1"/>
  <c r="E120" i="1" s="1"/>
  <c r="E36" i="1"/>
  <c r="E207" i="1"/>
  <c r="D207" i="1"/>
  <c r="C207" i="1"/>
  <c r="G150" i="11"/>
  <c r="K83" i="11"/>
  <c r="G76" i="11"/>
  <c r="N266" i="11"/>
  <c r="M266" i="11" s="1"/>
  <c r="G270" i="11"/>
  <c r="G272" i="11"/>
  <c r="G273" i="11"/>
  <c r="N267" i="11"/>
  <c r="K150" i="11"/>
  <c r="N83" i="11"/>
  <c r="C233" i="1"/>
  <c r="C643" i="1"/>
  <c r="C107" i="1"/>
  <c r="D204" i="1"/>
  <c r="G32" i="36"/>
  <c r="C151" i="1"/>
  <c r="E1218" i="1"/>
  <c r="C123" i="1"/>
  <c r="D103" i="1"/>
  <c r="C103" i="1"/>
  <c r="E1217" i="1"/>
  <c r="E1216" i="1"/>
  <c r="E1215" i="1"/>
  <c r="C53" i="1"/>
  <c r="C64" i="1"/>
  <c r="C144" i="1"/>
  <c r="E1148" i="1"/>
  <c r="C68" i="1"/>
  <c r="C86" i="1"/>
  <c r="D98" i="1"/>
  <c r="C98" i="1"/>
  <c r="E98" i="1"/>
  <c r="D81" i="1"/>
  <c r="C81" i="1"/>
  <c r="E81" i="1"/>
  <c r="D125" i="1"/>
  <c r="C125" i="1"/>
  <c r="E905" i="1"/>
  <c r="E125" i="1" s="1"/>
  <c r="E897" i="1"/>
  <c r="E74" i="1"/>
  <c r="D74" i="1"/>
  <c r="C74" i="1"/>
  <c r="C70" i="1"/>
  <c r="D97" i="1"/>
  <c r="C97" i="1"/>
  <c r="E97" i="1"/>
  <c r="C118" i="1"/>
  <c r="E118" i="1"/>
  <c r="C79" i="1"/>
  <c r="C71" i="1"/>
  <c r="E325" i="11"/>
  <c r="C1123" i="1" s="1"/>
  <c r="D1123" i="1" s="1"/>
  <c r="E286" i="11"/>
  <c r="E285" i="11"/>
  <c r="B631" i="1" l="1"/>
  <c r="B239" i="1"/>
  <c r="B219" i="1"/>
  <c r="B1269" i="1"/>
  <c r="B1266" i="1"/>
  <c r="B1267" i="1"/>
  <c r="B1265" i="1"/>
  <c r="M83" i="11"/>
  <c r="F277" i="11"/>
  <c r="C995" i="1" s="1"/>
  <c r="D995" i="1" s="1"/>
  <c r="E239" i="1"/>
  <c r="D239" i="1"/>
  <c r="E547" i="1"/>
  <c r="E71" i="1" s="1"/>
  <c r="D71" i="1"/>
  <c r="B193" i="1"/>
  <c r="B211" i="1"/>
  <c r="B158" i="1"/>
  <c r="B1277" i="1" s="1"/>
  <c r="B247" i="1"/>
  <c r="B171" i="1" s="1"/>
  <c r="B179" i="1"/>
  <c r="B1279" i="1" s="1"/>
  <c r="B167" i="1"/>
  <c r="B1278" i="1" s="1"/>
  <c r="B45" i="1"/>
  <c r="B1276" i="1" s="1"/>
  <c r="D120" i="1"/>
  <c r="D36" i="1"/>
  <c r="D53" i="1"/>
  <c r="N76" i="11"/>
  <c r="M76" i="11" s="1"/>
  <c r="E76" i="11" s="1"/>
  <c r="N272" i="11"/>
  <c r="M272" i="11" s="1"/>
  <c r="E272" i="11" s="1"/>
  <c r="G266" i="11"/>
  <c r="E266" i="11" s="1"/>
  <c r="N270" i="11"/>
  <c r="M270" i="11" s="1"/>
  <c r="E270" i="11" s="1"/>
  <c r="M267" i="11"/>
  <c r="N273" i="11"/>
  <c r="M273" i="11" s="1"/>
  <c r="E273" i="11" s="1"/>
  <c r="G267" i="11"/>
  <c r="G83" i="11"/>
  <c r="N150" i="11"/>
  <c r="M150" i="11" s="1"/>
  <c r="E150" i="11" s="1"/>
  <c r="E204" i="1"/>
  <c r="E1140" i="1"/>
  <c r="E1015" i="1"/>
  <c r="E1014" i="1"/>
  <c r="E53" i="1" s="1"/>
  <c r="D118" i="1"/>
  <c r="E258" i="11"/>
  <c r="E327" i="11"/>
  <c r="E275" i="11"/>
  <c r="E245" i="11"/>
  <c r="E227" i="11"/>
  <c r="E182" i="11"/>
  <c r="E159" i="11"/>
  <c r="E107" i="11"/>
  <c r="E63" i="11"/>
  <c r="E49" i="11"/>
  <c r="E40" i="11"/>
  <c r="E19" i="11"/>
  <c r="N74" i="11"/>
  <c r="N71" i="11"/>
  <c r="N57" i="11"/>
  <c r="G56" i="11"/>
  <c r="N48" i="11"/>
  <c r="K237" i="11"/>
  <c r="N237" i="11"/>
  <c r="N16" i="11"/>
  <c r="K317" i="11"/>
  <c r="K316" i="11"/>
  <c r="K256" i="11"/>
  <c r="K207" i="11"/>
  <c r="K205" i="11"/>
  <c r="K204" i="11"/>
  <c r="K130" i="11"/>
  <c r="N26" i="11"/>
  <c r="N315" i="11"/>
  <c r="K277" i="11"/>
  <c r="C1003" i="1" s="1"/>
  <c r="D1003" i="1" s="1"/>
  <c r="C23" i="1"/>
  <c r="K440" i="38" s="1"/>
  <c r="K441" i="38" s="1"/>
  <c r="E887" i="1"/>
  <c r="C1076" i="1"/>
  <c r="D1076" i="1" s="1"/>
  <c r="C1075" i="1"/>
  <c r="D1075" i="1" s="1"/>
  <c r="C1074" i="1"/>
  <c r="D1074" i="1" s="1"/>
  <c r="C1073" i="1"/>
  <c r="D1073" i="1" s="1"/>
  <c r="C1072" i="1"/>
  <c r="D1072" i="1" s="1"/>
  <c r="C307" i="1"/>
  <c r="C197" i="1"/>
  <c r="C199" i="1" s="1"/>
  <c r="C178" i="1"/>
  <c r="C177" i="1"/>
  <c r="C176" i="1"/>
  <c r="C175" i="1"/>
  <c r="E578" i="1"/>
  <c r="E178" i="1" s="1"/>
  <c r="E1141" i="1"/>
  <c r="C127" i="1"/>
  <c r="C18" i="1"/>
  <c r="C236" i="1"/>
  <c r="C235" i="1"/>
  <c r="C234" i="1"/>
  <c r="C206" i="1"/>
  <c r="E643" i="1"/>
  <c r="D643" i="1"/>
  <c r="E1125" i="1"/>
  <c r="E1124" i="1"/>
  <c r="E1002" i="1"/>
  <c r="L259" i="11"/>
  <c r="C949" i="1" s="1"/>
  <c r="D949" i="1" s="1"/>
  <c r="J259" i="11"/>
  <c r="C947" i="1" s="1"/>
  <c r="D947" i="1" s="1"/>
  <c r="F355" i="11" l="1"/>
  <c r="F95" i="39"/>
  <c r="I440" i="38"/>
  <c r="I441" i="38" s="1"/>
  <c r="E83" i="11"/>
  <c r="H348" i="11"/>
  <c r="M48" i="11"/>
  <c r="B1286" i="1"/>
  <c r="H328" i="11"/>
  <c r="C1122" i="1" s="1"/>
  <c r="D1122" i="1" s="1"/>
  <c r="H277" i="11"/>
  <c r="C999" i="1" s="1"/>
  <c r="D999" i="1" s="1"/>
  <c r="H288" i="11"/>
  <c r="C1059" i="1" s="1"/>
  <c r="D1059" i="1" s="1"/>
  <c r="B1287" i="1"/>
  <c r="B1288" i="1"/>
  <c r="C239" i="1"/>
  <c r="B227" i="1"/>
  <c r="B1285" i="1"/>
  <c r="D86" i="1"/>
  <c r="E86" i="1"/>
  <c r="E267" i="11"/>
  <c r="G74" i="11"/>
  <c r="G71" i="11"/>
  <c r="M74" i="11"/>
  <c r="M71" i="11"/>
  <c r="D178" i="1"/>
  <c r="M57" i="11"/>
  <c r="E1001" i="1"/>
  <c r="M237" i="11"/>
  <c r="G57" i="11"/>
  <c r="N56" i="11"/>
  <c r="M56" i="11" s="1"/>
  <c r="E56" i="11" s="1"/>
  <c r="G237" i="11"/>
  <c r="G48" i="11"/>
  <c r="G16" i="11"/>
  <c r="M16" i="11"/>
  <c r="M26" i="11"/>
  <c r="G26" i="11"/>
  <c r="M315" i="11"/>
  <c r="G315" i="11"/>
  <c r="N58" i="11"/>
  <c r="M58" i="11" s="1"/>
  <c r="G58" i="11"/>
  <c r="E815" i="1"/>
  <c r="E756" i="1"/>
  <c r="D18" i="1"/>
  <c r="E529" i="1"/>
  <c r="E528" i="1"/>
  <c r="E1145" i="1"/>
  <c r="E906" i="1"/>
  <c r="E835" i="1"/>
  <c r="E772" i="1"/>
  <c r="E556" i="1"/>
  <c r="E487" i="1"/>
  <c r="E422" i="1"/>
  <c r="E1224" i="1"/>
  <c r="E1220" i="1"/>
  <c r="E128" i="1" s="1"/>
  <c r="E48" i="11" l="1"/>
  <c r="E71" i="11"/>
  <c r="E74" i="11"/>
  <c r="E315" i="11"/>
  <c r="E1223" i="1"/>
  <c r="E70" i="1" s="1"/>
  <c r="D70" i="1"/>
  <c r="E57" i="11"/>
  <c r="E237" i="11"/>
  <c r="E26" i="11"/>
  <c r="E16" i="11"/>
  <c r="E58" i="11"/>
  <c r="E530" i="1"/>
  <c r="E18" i="1" s="1"/>
  <c r="E330" i="1"/>
  <c r="E23" i="1" s="1"/>
  <c r="D23" i="1"/>
  <c r="E287" i="1"/>
  <c r="E1225" i="1"/>
  <c r="E1219" i="1"/>
  <c r="E1214" i="1"/>
  <c r="E1213" i="1"/>
  <c r="E1212" i="1"/>
  <c r="E1204" i="1"/>
  <c r="G339" i="11"/>
  <c r="G342" i="11"/>
  <c r="N341" i="11"/>
  <c r="N340" i="11"/>
  <c r="N338" i="11"/>
  <c r="N336" i="11"/>
  <c r="D157" i="1"/>
  <c r="E157" i="1"/>
  <c r="C157" i="1"/>
  <c r="C155" i="1"/>
  <c r="C153" i="1"/>
  <c r="E1255" i="1"/>
  <c r="C1257" i="1"/>
  <c r="C1240" i="1" s="1"/>
  <c r="C1247" i="1"/>
  <c r="C1249" i="1" s="1"/>
  <c r="E1233" i="1"/>
  <c r="E1232" i="1"/>
  <c r="C1227" i="1"/>
  <c r="E1205" i="1"/>
  <c r="E1198" i="1"/>
  <c r="E1195" i="1"/>
  <c r="E289" i="1"/>
  <c r="E153" i="1" s="1"/>
  <c r="E1022" i="1"/>
  <c r="E1021" i="1"/>
  <c r="C1086" i="1"/>
  <c r="C156" i="1" s="1"/>
  <c r="C110" i="1"/>
  <c r="D68" i="36"/>
  <c r="E68" i="36"/>
  <c r="F68" i="36"/>
  <c r="G68" i="36"/>
  <c r="H68" i="36"/>
  <c r="I68" i="36"/>
  <c r="J68" i="36"/>
  <c r="K68" i="36"/>
  <c r="C150" i="1"/>
  <c r="E150" i="1"/>
  <c r="C149" i="1"/>
  <c r="E149" i="1"/>
  <c r="C148" i="1"/>
  <c r="C146" i="1"/>
  <c r="E839" i="1"/>
  <c r="E146" i="1" s="1"/>
  <c r="C145" i="1"/>
  <c r="C143" i="1"/>
  <c r="E1150" i="1"/>
  <c r="H32" i="36"/>
  <c r="C204" i="1"/>
  <c r="P277" i="11"/>
  <c r="E276" i="11"/>
  <c r="C1004" i="1" s="1"/>
  <c r="D1004" i="1" s="1"/>
  <c r="P248" i="11"/>
  <c r="C883" i="1" s="1"/>
  <c r="L248" i="11"/>
  <c r="C890" i="1" s="1"/>
  <c r="D890" i="1" s="1"/>
  <c r="J248" i="11"/>
  <c r="C888" i="1" s="1"/>
  <c r="D888" i="1" s="1"/>
  <c r="E247" i="11"/>
  <c r="P231" i="11"/>
  <c r="C812" i="1" s="1"/>
  <c r="D812" i="1" s="1"/>
  <c r="L231" i="11"/>
  <c r="J231" i="11"/>
  <c r="C817" i="1" s="1"/>
  <c r="D817" i="1" s="1"/>
  <c r="E229" i="11"/>
  <c r="P185" i="11"/>
  <c r="L185" i="11"/>
  <c r="C759" i="1" s="1"/>
  <c r="D759" i="1" s="1"/>
  <c r="J185" i="11"/>
  <c r="C757" i="1" s="1"/>
  <c r="D757" i="1" s="1"/>
  <c r="E184" i="11"/>
  <c r="C752" i="1" s="1"/>
  <c r="D752" i="1" s="1"/>
  <c r="P162" i="11"/>
  <c r="L162" i="11"/>
  <c r="C672" i="1" s="1"/>
  <c r="J162" i="11"/>
  <c r="C670" i="1" s="1"/>
  <c r="D670" i="1" s="1"/>
  <c r="E161" i="11"/>
  <c r="C666" i="1" s="1"/>
  <c r="D666" i="1" s="1"/>
  <c r="P110" i="11"/>
  <c r="L110" i="11"/>
  <c r="C535" i="1" s="1"/>
  <c r="D535" i="1" s="1"/>
  <c r="J110" i="11"/>
  <c r="C533" i="1" s="1"/>
  <c r="D533" i="1" s="1"/>
  <c r="E109" i="11"/>
  <c r="C527" i="1" s="1"/>
  <c r="D527" i="1" s="1"/>
  <c r="E64" i="11"/>
  <c r="C463" i="1" s="1"/>
  <c r="D463" i="1" s="1"/>
  <c r="P65" i="11"/>
  <c r="E41" i="11"/>
  <c r="C326" i="1" s="1"/>
  <c r="D326" i="1" s="1"/>
  <c r="P42" i="11"/>
  <c r="E20" i="11"/>
  <c r="C262" i="1" s="1"/>
  <c r="D262" i="1" s="1"/>
  <c r="P21" i="11"/>
  <c r="L65" i="11"/>
  <c r="C469" i="1" s="1"/>
  <c r="D469" i="1" s="1"/>
  <c r="K65" i="11"/>
  <c r="J65" i="11"/>
  <c r="C467" i="1" s="1"/>
  <c r="D467" i="1" s="1"/>
  <c r="L42" i="11"/>
  <c r="J42" i="11"/>
  <c r="C329" i="1" s="1"/>
  <c r="D329" i="1" s="1"/>
  <c r="N239" i="11"/>
  <c r="E770" i="1"/>
  <c r="C191" i="1"/>
  <c r="C189" i="1"/>
  <c r="C1023" i="1"/>
  <c r="C154" i="1" s="1"/>
  <c r="C860" i="1"/>
  <c r="C310" i="1"/>
  <c r="C309" i="1"/>
  <c r="C308" i="1"/>
  <c r="D123" i="1"/>
  <c r="C61" i="1"/>
  <c r="C49" i="1"/>
  <c r="C332" i="1" l="1"/>
  <c r="D332" i="1" s="1"/>
  <c r="E332" i="1" s="1"/>
  <c r="D883" i="1"/>
  <c r="C819" i="1"/>
  <c r="D819" i="1" s="1"/>
  <c r="C1202" i="1"/>
  <c r="D1202" i="1" s="1"/>
  <c r="E1202" i="1" s="1"/>
  <c r="E148" i="1"/>
  <c r="D143" i="1"/>
  <c r="D144" i="1"/>
  <c r="E155" i="1"/>
  <c r="E151" i="1"/>
  <c r="D151" i="1"/>
  <c r="D76" i="1"/>
  <c r="E76" i="1"/>
  <c r="G338" i="11"/>
  <c r="G341" i="11"/>
  <c r="C1193" i="1"/>
  <c r="D1193" i="1" s="1"/>
  <c r="C1197" i="1"/>
  <c r="D1197" i="1" s="1"/>
  <c r="G336" i="11"/>
  <c r="M340" i="11"/>
  <c r="N342" i="11"/>
  <c r="M342" i="11" s="1"/>
  <c r="E342" i="11" s="1"/>
  <c r="M336" i="11"/>
  <c r="M338" i="11"/>
  <c r="G340" i="11"/>
  <c r="M341" i="11"/>
  <c r="C425" i="1"/>
  <c r="D155" i="1"/>
  <c r="D153" i="1"/>
  <c r="N339" i="11"/>
  <c r="M339" i="11" s="1"/>
  <c r="D1235" i="1"/>
  <c r="E1254" i="1"/>
  <c r="C1235" i="1"/>
  <c r="D1247" i="1"/>
  <c r="E1227" i="1"/>
  <c r="E1231" i="1"/>
  <c r="E1235" i="1" s="1"/>
  <c r="E1253" i="1"/>
  <c r="C80" i="1"/>
  <c r="D146" i="1"/>
  <c r="D148" i="1"/>
  <c r="D149" i="1"/>
  <c r="D150" i="1"/>
  <c r="E1149" i="1"/>
  <c r="G239" i="11"/>
  <c r="M239" i="11"/>
  <c r="E123" i="1"/>
  <c r="C62" i="1"/>
  <c r="E336" i="11" l="1"/>
  <c r="E143" i="1"/>
  <c r="E144" i="1"/>
  <c r="E338" i="11"/>
  <c r="E1197" i="1"/>
  <c r="E1193" i="1"/>
  <c r="E340" i="11"/>
  <c r="E341" i="11"/>
  <c r="E339" i="11"/>
  <c r="E1257" i="1"/>
  <c r="E1240" i="1" s="1"/>
  <c r="D1257" i="1"/>
  <c r="D1240" i="1" s="1"/>
  <c r="E1247" i="1"/>
  <c r="E1249" i="1" s="1"/>
  <c r="D1249" i="1"/>
  <c r="D1227" i="1"/>
  <c r="E239" i="11"/>
  <c r="E603" i="1"/>
  <c r="D603" i="1"/>
  <c r="E251" i="1"/>
  <c r="E250" i="1"/>
  <c r="D260" i="11" l="1"/>
  <c r="N256" i="11"/>
  <c r="G236" i="11"/>
  <c r="K202" i="11"/>
  <c r="K206" i="11"/>
  <c r="G193" i="11"/>
  <c r="G168" i="11"/>
  <c r="G116" i="11"/>
  <c r="K284" i="11"/>
  <c r="D4" i="1"/>
  <c r="E217" i="1"/>
  <c r="E216" i="1"/>
  <c r="E215" i="1"/>
  <c r="E214" i="1"/>
  <c r="E203" i="1"/>
  <c r="E130" i="1"/>
  <c r="E93" i="1"/>
  <c r="E223" i="1"/>
  <c r="E225" i="1" s="1"/>
  <c r="E1173" i="1"/>
  <c r="E1172" i="1"/>
  <c r="D142" i="1"/>
  <c r="D140" i="1"/>
  <c r="I259" i="11" l="1"/>
  <c r="C943" i="1" s="1"/>
  <c r="D943" i="1" s="1"/>
  <c r="K259" i="11"/>
  <c r="C946" i="1" s="1"/>
  <c r="D946" i="1" s="1"/>
  <c r="H259" i="11"/>
  <c r="C944" i="1" s="1"/>
  <c r="D944" i="1" s="1"/>
  <c r="F248" i="11"/>
  <c r="C878" i="1" s="1"/>
  <c r="D878" i="1" s="1"/>
  <c r="F259" i="11"/>
  <c r="C940" i="1" s="1"/>
  <c r="D940" i="1" s="1"/>
  <c r="F185" i="11"/>
  <c r="C747" i="1" s="1"/>
  <c r="D747" i="1" s="1"/>
  <c r="F110" i="11"/>
  <c r="C522" i="1" s="1"/>
  <c r="D522" i="1" s="1"/>
  <c r="K42" i="11"/>
  <c r="C328" i="1" s="1"/>
  <c r="D328" i="1" s="1"/>
  <c r="F42" i="11"/>
  <c r="C322" i="1" s="1"/>
  <c r="D322" i="1" s="1"/>
  <c r="G254" i="11"/>
  <c r="N254" i="11"/>
  <c r="M254" i="11" s="1"/>
  <c r="M259" i="11" s="1"/>
  <c r="C948" i="1" s="1"/>
  <c r="D948" i="1" s="1"/>
  <c r="G256" i="11"/>
  <c r="E256" i="11" s="1"/>
  <c r="E219" i="1"/>
  <c r="E140" i="1"/>
  <c r="E142" i="1"/>
  <c r="D133" i="1"/>
  <c r="E133" i="1"/>
  <c r="C1175" i="1"/>
  <c r="C142" i="1"/>
  <c r="C140" i="1"/>
  <c r="C122" i="1"/>
  <c r="C133" i="1"/>
  <c r="E944" i="1" l="1"/>
  <c r="C1165" i="1"/>
  <c r="E254" i="11"/>
  <c r="N259" i="11"/>
  <c r="C941" i="1" s="1"/>
  <c r="D941" i="1" s="1"/>
  <c r="G259" i="11"/>
  <c r="C945" i="1" s="1"/>
  <c r="D945" i="1" s="1"/>
  <c r="D1175" i="1"/>
  <c r="D1165" i="1" s="1"/>
  <c r="E1171" i="1"/>
  <c r="E1175" i="1" s="1"/>
  <c r="E1165" i="1" s="1"/>
  <c r="D589" i="1"/>
  <c r="E589" i="1" s="1"/>
  <c r="K175" i="11"/>
  <c r="G175" i="11"/>
  <c r="K288" i="11"/>
  <c r="C1062" i="1" s="1"/>
  <c r="D1062" i="1" s="1"/>
  <c r="K322" i="11"/>
  <c r="N322" i="11"/>
  <c r="N317" i="11"/>
  <c r="N316" i="11"/>
  <c r="E1158" i="1"/>
  <c r="E1157" i="1"/>
  <c r="C137" i="1"/>
  <c r="E1143" i="1"/>
  <c r="E1142" i="1"/>
  <c r="E89" i="1" s="1"/>
  <c r="E1139" i="1"/>
  <c r="E85" i="1" s="1"/>
  <c r="E294" i="1"/>
  <c r="E295" i="1"/>
  <c r="E367" i="1"/>
  <c r="E368" i="1"/>
  <c r="D493" i="1"/>
  <c r="E493" i="1" s="1"/>
  <c r="D494" i="1"/>
  <c r="E494" i="1" s="1"/>
  <c r="D495" i="1"/>
  <c r="E495" i="1" s="1"/>
  <c r="E562" i="1"/>
  <c r="E563" i="1"/>
  <c r="E564" i="1"/>
  <c r="E715" i="1"/>
  <c r="E716" i="1"/>
  <c r="E719" i="1"/>
  <c r="E778" i="1"/>
  <c r="E779" i="1"/>
  <c r="E844" i="1"/>
  <c r="E845" i="1"/>
  <c r="E846" i="1"/>
  <c r="E912" i="1"/>
  <c r="E913" i="1"/>
  <c r="E965" i="1"/>
  <c r="E966" i="1"/>
  <c r="E1027" i="1"/>
  <c r="E1028" i="1"/>
  <c r="E429" i="1"/>
  <c r="E430" i="1"/>
  <c r="E1090" i="1"/>
  <c r="E1091" i="1"/>
  <c r="E283" i="1"/>
  <c r="D284" i="1"/>
  <c r="E284" i="1" s="1"/>
  <c r="E286" i="1"/>
  <c r="E485" i="1"/>
  <c r="E486" i="1"/>
  <c r="E488" i="1"/>
  <c r="E96" i="1"/>
  <c r="E542" i="1"/>
  <c r="E59" i="1" s="1"/>
  <c r="E544" i="1"/>
  <c r="E548" i="1"/>
  <c r="E549" i="1"/>
  <c r="E84" i="1"/>
  <c r="E553" i="1"/>
  <c r="E555" i="1"/>
  <c r="E679" i="1"/>
  <c r="E681" i="1"/>
  <c r="E699" i="1"/>
  <c r="E700" i="1"/>
  <c r="E706" i="1"/>
  <c r="E710" i="1"/>
  <c r="E766" i="1"/>
  <c r="E767" i="1"/>
  <c r="E768" i="1"/>
  <c r="E769" i="1"/>
  <c r="E771" i="1"/>
  <c r="E827" i="1"/>
  <c r="E828" i="1"/>
  <c r="E55" i="1" s="1"/>
  <c r="E829" i="1"/>
  <c r="E58" i="1" s="1"/>
  <c r="E69" i="1"/>
  <c r="E831" i="1"/>
  <c r="E90" i="1"/>
  <c r="E100" i="1"/>
  <c r="E832" i="1"/>
  <c r="E833" i="1"/>
  <c r="E108" i="1" s="1"/>
  <c r="E896" i="1"/>
  <c r="E50" i="1"/>
  <c r="E901" i="1"/>
  <c r="E903" i="1"/>
  <c r="E65" i="1"/>
  <c r="E82" i="1"/>
  <c r="E955" i="1"/>
  <c r="E956" i="1"/>
  <c r="E419" i="1"/>
  <c r="E421" i="1"/>
  <c r="E423" i="1"/>
  <c r="E1081" i="1"/>
  <c r="E1082" i="1"/>
  <c r="D259" i="1"/>
  <c r="E259" i="1" s="1"/>
  <c r="E262" i="1"/>
  <c r="E326" i="1"/>
  <c r="E460" i="1"/>
  <c r="E463" i="1"/>
  <c r="E524" i="1"/>
  <c r="E527" i="1"/>
  <c r="E663" i="1"/>
  <c r="E666" i="1"/>
  <c r="E749" i="1"/>
  <c r="E752" i="1"/>
  <c r="E809" i="1"/>
  <c r="E812" i="1"/>
  <c r="E820" i="1"/>
  <c r="E880" i="1"/>
  <c r="E883" i="1"/>
  <c r="E942" i="1"/>
  <c r="E997" i="1"/>
  <c r="E1004" i="1"/>
  <c r="D396" i="1"/>
  <c r="E396" i="1" s="1"/>
  <c r="E399" i="1"/>
  <c r="E1057" i="1"/>
  <c r="E1060" i="1"/>
  <c r="C297" i="1"/>
  <c r="C370" i="1"/>
  <c r="C497" i="1"/>
  <c r="C566" i="1"/>
  <c r="C721" i="1"/>
  <c r="C781" i="1"/>
  <c r="C848" i="1"/>
  <c r="C915" i="1"/>
  <c r="C968" i="1"/>
  <c r="C1030" i="1"/>
  <c r="C432" i="1"/>
  <c r="C1093" i="1"/>
  <c r="C489" i="1"/>
  <c r="C558" i="1"/>
  <c r="C908" i="1"/>
  <c r="E273" i="1"/>
  <c r="E275" i="1"/>
  <c r="E276" i="1"/>
  <c r="E277" i="1"/>
  <c r="E278" i="1"/>
  <c r="E339" i="1"/>
  <c r="E340" i="1"/>
  <c r="E342" i="1"/>
  <c r="E345" i="1"/>
  <c r="E346" i="1"/>
  <c r="E411" i="1"/>
  <c r="E475" i="1"/>
  <c r="E477" i="1"/>
  <c r="E478" i="1"/>
  <c r="E479" i="1"/>
  <c r="E480" i="1"/>
  <c r="E1071" i="1"/>
  <c r="E1073" i="1"/>
  <c r="E1074" i="1"/>
  <c r="E1075" i="1"/>
  <c r="E1076" i="1"/>
  <c r="I21" i="36"/>
  <c r="D289" i="11"/>
  <c r="E1103" i="1"/>
  <c r="E1105" i="1"/>
  <c r="C124" i="1"/>
  <c r="C67" i="1"/>
  <c r="C84" i="1"/>
  <c r="C85" i="1"/>
  <c r="C96" i="1"/>
  <c r="C134" i="1"/>
  <c r="C90" i="1"/>
  <c r="C51" i="1"/>
  <c r="C135" i="1"/>
  <c r="E734" i="1"/>
  <c r="C75" i="1"/>
  <c r="N238" i="11"/>
  <c r="G207" i="11"/>
  <c r="G204" i="11"/>
  <c r="G206" i="11"/>
  <c r="G153" i="11"/>
  <c r="G158" i="11"/>
  <c r="G138" i="11"/>
  <c r="G80" i="11"/>
  <c r="D93" i="1"/>
  <c r="C93" i="1"/>
  <c r="C50" i="1"/>
  <c r="K174" i="11"/>
  <c r="K129" i="11"/>
  <c r="I277" i="11"/>
  <c r="C998" i="1" s="1"/>
  <c r="D998" i="1" s="1"/>
  <c r="I51" i="11"/>
  <c r="C397" i="1" s="1"/>
  <c r="D397" i="1" s="1"/>
  <c r="H51" i="11"/>
  <c r="C398" i="1" s="1"/>
  <c r="D398" i="1" s="1"/>
  <c r="F51" i="11"/>
  <c r="C394" i="1" s="1"/>
  <c r="D394" i="1" s="1"/>
  <c r="G33" i="11"/>
  <c r="D217" i="1"/>
  <c r="C217" i="1"/>
  <c r="D216" i="1"/>
  <c r="C216" i="1"/>
  <c r="H22" i="36"/>
  <c r="D130" i="1"/>
  <c r="C130" i="1"/>
  <c r="D203" i="1"/>
  <c r="C203" i="1"/>
  <c r="C76" i="1"/>
  <c r="C89" i="1"/>
  <c r="J65" i="36"/>
  <c r="E65" i="36"/>
  <c r="D65" i="36"/>
  <c r="I42" i="36"/>
  <c r="I36" i="36"/>
  <c r="G65" i="36"/>
  <c r="K54" i="36"/>
  <c r="J54" i="36"/>
  <c r="H54" i="36"/>
  <c r="G54" i="36"/>
  <c r="F54" i="36"/>
  <c r="E54" i="36"/>
  <c r="D54" i="36"/>
  <c r="J43" i="36"/>
  <c r="H43" i="36"/>
  <c r="G43" i="36"/>
  <c r="F43" i="36"/>
  <c r="E43" i="36"/>
  <c r="D43" i="36"/>
  <c r="K32" i="36"/>
  <c r="J32" i="36"/>
  <c r="K22" i="36"/>
  <c r="J22" i="36"/>
  <c r="G22" i="36"/>
  <c r="F22" i="36"/>
  <c r="E22" i="36"/>
  <c r="D22" i="36"/>
  <c r="I32" i="36"/>
  <c r="D89" i="1"/>
  <c r="N193" i="11"/>
  <c r="G15" i="11"/>
  <c r="G36" i="11"/>
  <c r="G59" i="11"/>
  <c r="G62" i="11"/>
  <c r="G75" i="11"/>
  <c r="G78" i="11"/>
  <c r="G79" i="11"/>
  <c r="G81" i="11"/>
  <c r="G84" i="11"/>
  <c r="G343" i="11"/>
  <c r="G86" i="11"/>
  <c r="G88" i="11"/>
  <c r="G94" i="11"/>
  <c r="G99" i="11"/>
  <c r="G100" i="11"/>
  <c r="G101" i="11"/>
  <c r="G284" i="11"/>
  <c r="G124" i="11"/>
  <c r="G129" i="11"/>
  <c r="G130" i="11"/>
  <c r="G131" i="11"/>
  <c r="G135" i="11"/>
  <c r="G136" i="11"/>
  <c r="G137" i="11"/>
  <c r="G140" i="11"/>
  <c r="G344" i="11"/>
  <c r="G152" i="11"/>
  <c r="G154" i="11"/>
  <c r="G155" i="11"/>
  <c r="G157" i="11"/>
  <c r="G170" i="11"/>
  <c r="G174" i="11"/>
  <c r="G171" i="11"/>
  <c r="G202" i="11"/>
  <c r="G205" i="11"/>
  <c r="G214" i="11"/>
  <c r="G215" i="11"/>
  <c r="G216" i="11"/>
  <c r="G217" i="11"/>
  <c r="G218" i="11"/>
  <c r="G219" i="11"/>
  <c r="G238" i="11"/>
  <c r="G283" i="11"/>
  <c r="G240" i="11"/>
  <c r="G241" i="11"/>
  <c r="G242" i="11"/>
  <c r="G244" i="11"/>
  <c r="G268" i="11"/>
  <c r="G277" i="11" s="1"/>
  <c r="C1000" i="1" s="1"/>
  <c r="D1000" i="1" s="1"/>
  <c r="N151" i="11"/>
  <c r="N75" i="11"/>
  <c r="N78" i="11"/>
  <c r="N84" i="11"/>
  <c r="N86" i="11"/>
  <c r="N94" i="11"/>
  <c r="N99" i="11"/>
  <c r="N284" i="11"/>
  <c r="N130" i="11"/>
  <c r="N131" i="11"/>
  <c r="N135" i="11"/>
  <c r="N136" i="11"/>
  <c r="N344" i="11"/>
  <c r="N51" i="11"/>
  <c r="C395" i="1" s="1"/>
  <c r="D395" i="1" s="1"/>
  <c r="C52" i="1"/>
  <c r="C63" i="1"/>
  <c r="C66" i="1"/>
  <c r="C115" i="1"/>
  <c r="C100" i="1"/>
  <c r="C188" i="1"/>
  <c r="C214" i="1"/>
  <c r="D214" i="1"/>
  <c r="C215" i="1"/>
  <c r="D215" i="1"/>
  <c r="C223" i="1"/>
  <c r="C225" i="1" s="1"/>
  <c r="D223" i="1"/>
  <c r="D225" i="1" s="1"/>
  <c r="C250" i="1"/>
  <c r="D250" i="1"/>
  <c r="C251" i="1"/>
  <c r="D251" i="1"/>
  <c r="C126" i="1"/>
  <c r="D307" i="1"/>
  <c r="E307" i="1" s="1"/>
  <c r="D309" i="1"/>
  <c r="E309" i="1" s="1"/>
  <c r="C315" i="1"/>
  <c r="D315" i="1"/>
  <c r="C316" i="1"/>
  <c r="D316" i="1"/>
  <c r="D381" i="1"/>
  <c r="E381" i="1" s="1"/>
  <c r="D382" i="1"/>
  <c r="E382" i="1" s="1"/>
  <c r="D383" i="1"/>
  <c r="E383" i="1" s="1"/>
  <c r="E443" i="1"/>
  <c r="E444" i="1"/>
  <c r="E445" i="1"/>
  <c r="C451" i="1"/>
  <c r="D451" i="1"/>
  <c r="C452" i="1"/>
  <c r="D452" i="1"/>
  <c r="E508" i="1"/>
  <c r="D509" i="1"/>
  <c r="E509" i="1" s="1"/>
  <c r="D510" i="1"/>
  <c r="E510" i="1" s="1"/>
  <c r="C515" i="1"/>
  <c r="D515" i="1"/>
  <c r="C516" i="1"/>
  <c r="D516" i="1"/>
  <c r="C179" i="1"/>
  <c r="C594" i="1"/>
  <c r="C209" i="1"/>
  <c r="D648" i="1"/>
  <c r="E648" i="1" s="1"/>
  <c r="D649" i="1"/>
  <c r="E649" i="1" s="1"/>
  <c r="C654" i="1"/>
  <c r="D654" i="1"/>
  <c r="C655" i="1"/>
  <c r="D655" i="1"/>
  <c r="C83" i="1"/>
  <c r="E733" i="1"/>
  <c r="E735" i="1"/>
  <c r="C740" i="1"/>
  <c r="D740" i="1"/>
  <c r="C741" i="1"/>
  <c r="D741" i="1"/>
  <c r="C77" i="1"/>
  <c r="D793" i="1"/>
  <c r="E793" i="1" s="1"/>
  <c r="D794" i="1"/>
  <c r="E794" i="1" s="1"/>
  <c r="D795" i="1"/>
  <c r="E795" i="1" s="1"/>
  <c r="C246" i="1"/>
  <c r="C800" i="1"/>
  <c r="D800" i="1"/>
  <c r="C801" i="1"/>
  <c r="D801" i="1"/>
  <c r="C108" i="1"/>
  <c r="C69" i="1"/>
  <c r="C55" i="1"/>
  <c r="D860" i="1"/>
  <c r="E867" i="1"/>
  <c r="C871" i="1"/>
  <c r="D871" i="1"/>
  <c r="C872" i="1"/>
  <c r="D872" i="1"/>
  <c r="E927" i="1"/>
  <c r="E928" i="1"/>
  <c r="E929" i="1"/>
  <c r="C65" i="1"/>
  <c r="C82" i="1"/>
  <c r="C92" i="1"/>
  <c r="C99" i="1"/>
  <c r="C104" i="1"/>
  <c r="C109" i="1"/>
  <c r="C111" i="1"/>
  <c r="C119" i="1"/>
  <c r="C60" i="1"/>
  <c r="C164" i="1"/>
  <c r="E981" i="1"/>
  <c r="E982" i="1"/>
  <c r="E983" i="1"/>
  <c r="C989" i="1"/>
  <c r="D989" i="1"/>
  <c r="E1041" i="1"/>
  <c r="E1042" i="1"/>
  <c r="E1043" i="1"/>
  <c r="G4" i="11"/>
  <c r="G5" i="11"/>
  <c r="J21" i="11"/>
  <c r="C265" i="1" s="1"/>
  <c r="D265" i="1" s="1"/>
  <c r="L21" i="11"/>
  <c r="C267" i="1" s="1"/>
  <c r="D267" i="1" s="1"/>
  <c r="D22" i="11"/>
  <c r="J51" i="11"/>
  <c r="C402" i="1" s="1"/>
  <c r="D402" i="1" s="1"/>
  <c r="L51" i="11"/>
  <c r="C404" i="1" s="1"/>
  <c r="D404" i="1" s="1"/>
  <c r="E404" i="1" s="1"/>
  <c r="D52" i="11"/>
  <c r="D66" i="11"/>
  <c r="E946" i="1"/>
  <c r="E943" i="1"/>
  <c r="E947" i="1"/>
  <c r="E949" i="1"/>
  <c r="E948" i="1"/>
  <c r="G82" i="11"/>
  <c r="N82" i="11"/>
  <c r="G85" i="11"/>
  <c r="N85" i="11"/>
  <c r="K99" i="11"/>
  <c r="K100" i="11"/>
  <c r="K101" i="11"/>
  <c r="D111" i="11"/>
  <c r="I116" i="11"/>
  <c r="K131" i="11"/>
  <c r="K137" i="11"/>
  <c r="K138" i="11"/>
  <c r="K140" i="11"/>
  <c r="K344" i="11"/>
  <c r="K348" i="11" s="1"/>
  <c r="K151" i="11"/>
  <c r="K152" i="11"/>
  <c r="K153" i="11"/>
  <c r="K154" i="11"/>
  <c r="K155" i="11"/>
  <c r="K157" i="11"/>
  <c r="D163" i="11"/>
  <c r="I168" i="11"/>
  <c r="I193" i="11"/>
  <c r="G226" i="11"/>
  <c r="N226" i="11"/>
  <c r="D232" i="11"/>
  <c r="I236" i="11"/>
  <c r="N168" i="11"/>
  <c r="C102" i="1"/>
  <c r="C112" i="1"/>
  <c r="C59" i="1"/>
  <c r="D59" i="1"/>
  <c r="C132" i="1"/>
  <c r="C163" i="1"/>
  <c r="C78" i="1"/>
  <c r="D69" i="1"/>
  <c r="D108" i="1"/>
  <c r="C166" i="1"/>
  <c r="C101" i="1"/>
  <c r="D65" i="1"/>
  <c r="C162" i="1"/>
  <c r="C129" i="1"/>
  <c r="D82" i="1"/>
  <c r="C116" i="1"/>
  <c r="C627" i="1"/>
  <c r="C114" i="1"/>
  <c r="C58" i="1"/>
  <c r="N244" i="11"/>
  <c r="N214" i="11"/>
  <c r="N171" i="11"/>
  <c r="N157" i="11"/>
  <c r="N240" i="11"/>
  <c r="N218" i="11"/>
  <c r="N205" i="11"/>
  <c r="N195" i="11"/>
  <c r="N174" i="11"/>
  <c r="N152" i="11"/>
  <c r="N62" i="11"/>
  <c r="N242" i="11"/>
  <c r="N283" i="11"/>
  <c r="N216" i="11"/>
  <c r="N170" i="11"/>
  <c r="N154" i="11"/>
  <c r="N33" i="11"/>
  <c r="N15" i="11"/>
  <c r="N236" i="11"/>
  <c r="N241" i="11"/>
  <c r="N219" i="11"/>
  <c r="N217" i="11"/>
  <c r="N215" i="11"/>
  <c r="N207" i="11"/>
  <c r="N206" i="11"/>
  <c r="N204" i="11"/>
  <c r="N202" i="11"/>
  <c r="N158" i="11"/>
  <c r="N155" i="11"/>
  <c r="N153" i="11"/>
  <c r="N140" i="11"/>
  <c r="N137" i="11"/>
  <c r="N129" i="11"/>
  <c r="N101" i="11"/>
  <c r="N100" i="11"/>
  <c r="N88" i="11"/>
  <c r="N343" i="11"/>
  <c r="N81" i="11"/>
  <c r="N79" i="11"/>
  <c r="N116" i="11"/>
  <c r="D52" i="1"/>
  <c r="N268" i="11"/>
  <c r="N277" i="11" s="1"/>
  <c r="C996" i="1" s="1"/>
  <c r="D996" i="1" s="1"/>
  <c r="N59" i="11"/>
  <c r="N36" i="11"/>
  <c r="F69" i="36" l="1"/>
  <c r="G69" i="36"/>
  <c r="D69" i="36"/>
  <c r="E69" i="36"/>
  <c r="J69" i="36"/>
  <c r="N348" i="11"/>
  <c r="C1194" i="1" s="1"/>
  <c r="D1194" i="1" s="1"/>
  <c r="G348" i="11"/>
  <c r="C1200" i="1" s="1"/>
  <c r="D1200" i="1" s="1"/>
  <c r="C1201" i="1"/>
  <c r="D1201" i="1" s="1"/>
  <c r="E1201" i="1" s="1"/>
  <c r="K43" i="36"/>
  <c r="C219" i="1"/>
  <c r="I328" i="11"/>
  <c r="C1121" i="1" s="1"/>
  <c r="D1121" i="1" s="1"/>
  <c r="E1121" i="1" s="1"/>
  <c r="D58" i="1"/>
  <c r="E265" i="1"/>
  <c r="J351" i="11"/>
  <c r="E267" i="1"/>
  <c r="L351" i="11"/>
  <c r="K328" i="11"/>
  <c r="C1127" i="1" s="1"/>
  <c r="D1127" i="1" s="1"/>
  <c r="E87" i="1"/>
  <c r="D87" i="1"/>
  <c r="I288" i="11"/>
  <c r="E420" i="1"/>
  <c r="E425" i="1" s="1"/>
  <c r="D425" i="1"/>
  <c r="G288" i="11"/>
  <c r="C1061" i="1" s="1"/>
  <c r="D1061" i="1" s="1"/>
  <c r="M216" i="11"/>
  <c r="E216" i="11" s="1"/>
  <c r="D100" i="1"/>
  <c r="M85" i="11"/>
  <c r="E85" i="11" s="1"/>
  <c r="E74" i="36"/>
  <c r="G74" i="36"/>
  <c r="I43" i="36"/>
  <c r="I54" i="36"/>
  <c r="E398" i="1"/>
  <c r="E945" i="1"/>
  <c r="E395" i="1"/>
  <c r="E941" i="1"/>
  <c r="B951" i="1"/>
  <c r="E1016" i="1"/>
  <c r="E64" i="1" s="1"/>
  <c r="D64" i="1"/>
  <c r="D122" i="1"/>
  <c r="E1138" i="1"/>
  <c r="E68" i="1" s="1"/>
  <c r="D68" i="1"/>
  <c r="E1144" i="1"/>
  <c r="E110" i="1" s="1"/>
  <c r="D110" i="1"/>
  <c r="F74" i="36"/>
  <c r="J74" i="36"/>
  <c r="J356" i="11"/>
  <c r="L356" i="11"/>
  <c r="I231" i="11"/>
  <c r="E576" i="1"/>
  <c r="E176" i="1" s="1"/>
  <c r="D176" i="1"/>
  <c r="E259" i="11"/>
  <c r="E1018" i="1"/>
  <c r="E127" i="1" s="1"/>
  <c r="D127" i="1"/>
  <c r="M94" i="11"/>
  <c r="E94" i="11" s="1"/>
  <c r="H110" i="11"/>
  <c r="C526" i="1" s="1"/>
  <c r="D526" i="1" s="1"/>
  <c r="D119" i="1"/>
  <c r="D55" i="1"/>
  <c r="E1080" i="1"/>
  <c r="E1086" i="1" s="1"/>
  <c r="E156" i="1" s="1"/>
  <c r="D1086" i="1"/>
  <c r="D156" i="1" s="1"/>
  <c r="E282" i="1"/>
  <c r="D290" i="1"/>
  <c r="E285" i="1"/>
  <c r="E103" i="1" s="1"/>
  <c r="M343" i="11"/>
  <c r="M240" i="11"/>
  <c r="E240" i="11" s="1"/>
  <c r="I185" i="11"/>
  <c r="C750" i="1" s="1"/>
  <c r="D750" i="1" s="1"/>
  <c r="M130" i="11"/>
  <c r="E130" i="11" s="1"/>
  <c r="F162" i="11"/>
  <c r="C661" i="1" s="1"/>
  <c r="D661" i="1" s="1"/>
  <c r="H185" i="11"/>
  <c r="C751" i="1" s="1"/>
  <c r="D751" i="1" s="1"/>
  <c r="E168" i="11"/>
  <c r="N248" i="11"/>
  <c r="C879" i="1" s="1"/>
  <c r="D879" i="1" s="1"/>
  <c r="I162" i="11"/>
  <c r="C664" i="1" s="1"/>
  <c r="D664" i="1" s="1"/>
  <c r="E998" i="1"/>
  <c r="K185" i="11"/>
  <c r="C754" i="1" s="1"/>
  <c r="D754" i="1" s="1"/>
  <c r="K248" i="11"/>
  <c r="C885" i="1" s="1"/>
  <c r="D885" i="1" s="1"/>
  <c r="F231" i="11"/>
  <c r="G185" i="11"/>
  <c r="C753" i="1" s="1"/>
  <c r="D753" i="1" s="1"/>
  <c r="H162" i="11"/>
  <c r="C665" i="1" s="1"/>
  <c r="D665" i="1" s="1"/>
  <c r="E116" i="11"/>
  <c r="H231" i="11"/>
  <c r="E193" i="11"/>
  <c r="I248" i="11"/>
  <c r="C881" i="1" s="1"/>
  <c r="D881" i="1" s="1"/>
  <c r="K162" i="11"/>
  <c r="C669" i="1" s="1"/>
  <c r="D669" i="1" s="1"/>
  <c r="K231" i="11"/>
  <c r="G248" i="11"/>
  <c r="C884" i="1" s="1"/>
  <c r="D884" i="1" s="1"/>
  <c r="H248" i="11"/>
  <c r="C882" i="1" s="1"/>
  <c r="D882" i="1" s="1"/>
  <c r="E236" i="11"/>
  <c r="G110" i="11"/>
  <c r="C531" i="1" s="1"/>
  <c r="D531" i="1" s="1"/>
  <c r="I110" i="11"/>
  <c r="C525" i="1" s="1"/>
  <c r="D525" i="1" s="1"/>
  <c r="K110" i="11"/>
  <c r="C532" i="1" s="1"/>
  <c r="D532" i="1" s="1"/>
  <c r="M33" i="11"/>
  <c r="E33" i="11" s="1"/>
  <c r="M226" i="11"/>
  <c r="E226" i="11" s="1"/>
  <c r="M151" i="11"/>
  <c r="E151" i="11" s="1"/>
  <c r="H42" i="11"/>
  <c r="C325" i="1" s="1"/>
  <c r="D325" i="1" s="1"/>
  <c r="I42" i="11"/>
  <c r="C324" i="1" s="1"/>
  <c r="D324" i="1" s="1"/>
  <c r="H21" i="11"/>
  <c r="C261" i="1" s="1"/>
  <c r="D261" i="1" s="1"/>
  <c r="M344" i="11"/>
  <c r="E344" i="11" s="1"/>
  <c r="M174" i="11"/>
  <c r="E174" i="11" s="1"/>
  <c r="I65" i="11"/>
  <c r="C461" i="1" s="1"/>
  <c r="D461" i="1" s="1"/>
  <c r="M51" i="11"/>
  <c r="C403" i="1" s="1"/>
  <c r="D403" i="1" s="1"/>
  <c r="G195" i="11"/>
  <c r="G65" i="11"/>
  <c r="C464" i="1" s="1"/>
  <c r="D464" i="1" s="1"/>
  <c r="F65" i="11"/>
  <c r="C458" i="1" s="1"/>
  <c r="D458" i="1" s="1"/>
  <c r="N42" i="11"/>
  <c r="C323" i="1" s="1"/>
  <c r="D323" i="1" s="1"/>
  <c r="H65" i="11"/>
  <c r="C462" i="1" s="1"/>
  <c r="D462" i="1" s="1"/>
  <c r="G42" i="11"/>
  <c r="C327" i="1" s="1"/>
  <c r="D327" i="1" s="1"/>
  <c r="M84" i="11"/>
  <c r="E84" i="11" s="1"/>
  <c r="M36" i="11"/>
  <c r="E36" i="11" s="1"/>
  <c r="M59" i="11"/>
  <c r="E59" i="11" s="1"/>
  <c r="M202" i="11"/>
  <c r="E202" i="11" s="1"/>
  <c r="M206" i="11"/>
  <c r="E206" i="11" s="1"/>
  <c r="M215" i="11"/>
  <c r="E215" i="11" s="1"/>
  <c r="M219" i="11"/>
  <c r="E219" i="11" s="1"/>
  <c r="M241" i="11"/>
  <c r="E241" i="11" s="1"/>
  <c r="M135" i="11"/>
  <c r="E135" i="11" s="1"/>
  <c r="I21" i="11"/>
  <c r="C260" i="1" s="1"/>
  <c r="D260" i="1" s="1"/>
  <c r="M81" i="11"/>
  <c r="E81" i="11" s="1"/>
  <c r="M88" i="11"/>
  <c r="E88" i="11" s="1"/>
  <c r="M129" i="11"/>
  <c r="E129" i="11" s="1"/>
  <c r="M153" i="11"/>
  <c r="E153" i="11" s="1"/>
  <c r="M158" i="11"/>
  <c r="E158" i="11" s="1"/>
  <c r="M207" i="11"/>
  <c r="E207" i="11" s="1"/>
  <c r="M217" i="11"/>
  <c r="E217" i="11" s="1"/>
  <c r="M62" i="11"/>
  <c r="E62" i="11" s="1"/>
  <c r="M205" i="11"/>
  <c r="E205" i="11" s="1"/>
  <c r="M82" i="11"/>
  <c r="E82" i="11" s="1"/>
  <c r="M284" i="11"/>
  <c r="E284" i="11" s="1"/>
  <c r="M86" i="11"/>
  <c r="E86" i="11" s="1"/>
  <c r="M136" i="11"/>
  <c r="E136" i="11" s="1"/>
  <c r="M268" i="11"/>
  <c r="M277" i="11" s="1"/>
  <c r="C1006" i="1" s="1"/>
  <c r="M204" i="11"/>
  <c r="E204" i="11" s="1"/>
  <c r="M242" i="11"/>
  <c r="E242" i="11" s="1"/>
  <c r="M218" i="11"/>
  <c r="E218" i="11" s="1"/>
  <c r="M214" i="11"/>
  <c r="E214" i="11" s="1"/>
  <c r="M131" i="11"/>
  <c r="E131" i="11" s="1"/>
  <c r="M99" i="11"/>
  <c r="E99" i="11" s="1"/>
  <c r="M78" i="11"/>
  <c r="E78" i="11" s="1"/>
  <c r="M75" i="11"/>
  <c r="E75" i="11" s="1"/>
  <c r="D49" i="1"/>
  <c r="D84" i="1"/>
  <c r="D51" i="1"/>
  <c r="E121" i="1"/>
  <c r="D121" i="1"/>
  <c r="E56" i="1"/>
  <c r="E830" i="1"/>
  <c r="E62" i="1" s="1"/>
  <c r="D62" i="1"/>
  <c r="C117" i="1"/>
  <c r="D90" i="1"/>
  <c r="D50" i="1"/>
  <c r="M195" i="11"/>
  <c r="E1005" i="1"/>
  <c r="E888" i="1"/>
  <c r="E817" i="1"/>
  <c r="E670" i="1"/>
  <c r="E533" i="1"/>
  <c r="E465" i="1"/>
  <c r="E402" i="1"/>
  <c r="E328" i="1"/>
  <c r="E329" i="1"/>
  <c r="E1063" i="1"/>
  <c r="E1065" i="1"/>
  <c r="E890" i="1"/>
  <c r="E819" i="1"/>
  <c r="E672" i="1"/>
  <c r="E535" i="1"/>
  <c r="E467" i="1"/>
  <c r="E397" i="1"/>
  <c r="E1062" i="1"/>
  <c r="C774" i="1"/>
  <c r="D219" i="1"/>
  <c r="C385" i="1"/>
  <c r="C374" i="1" s="1"/>
  <c r="E209" i="1"/>
  <c r="E211" i="1" s="1"/>
  <c r="C651" i="1"/>
  <c r="D312" i="1"/>
  <c r="D301" i="1" s="1"/>
  <c r="E613" i="1"/>
  <c r="C243" i="1"/>
  <c r="C862" i="1"/>
  <c r="C244" i="1"/>
  <c r="C193" i="1"/>
  <c r="C869" i="1"/>
  <c r="E575" i="1"/>
  <c r="C615" i="1"/>
  <c r="C631" i="1" s="1"/>
  <c r="E1130" i="1"/>
  <c r="C363" i="1"/>
  <c r="E447" i="1"/>
  <c r="E436" i="1" s="1"/>
  <c r="E432" i="1"/>
  <c r="E1030" i="1"/>
  <c r="E968" i="1"/>
  <c r="E781" i="1"/>
  <c r="E370" i="1"/>
  <c r="D869" i="1"/>
  <c r="D853" i="1" s="1"/>
  <c r="E866" i="1"/>
  <c r="E869" i="1" s="1"/>
  <c r="E853" i="1" s="1"/>
  <c r="E707" i="1"/>
  <c r="E134" i="1" s="1"/>
  <c r="D134" i="1"/>
  <c r="E124" i="1"/>
  <c r="D124" i="1"/>
  <c r="D862" i="1"/>
  <c r="E860" i="1"/>
  <c r="E862" i="1" s="1"/>
  <c r="E312" i="1"/>
  <c r="E301" i="1" s="1"/>
  <c r="D63" i="1"/>
  <c r="D132" i="1"/>
  <c r="E132" i="1"/>
  <c r="D111" i="1"/>
  <c r="E111" i="1"/>
  <c r="D92" i="1"/>
  <c r="E92" i="1"/>
  <c r="D61" i="1"/>
  <c r="E61" i="1"/>
  <c r="E908" i="1"/>
  <c r="E49" i="1"/>
  <c r="D112" i="1"/>
  <c r="E697" i="1"/>
  <c r="E112" i="1" s="1"/>
  <c r="D83" i="1"/>
  <c r="E682" i="1"/>
  <c r="E83" i="1" s="1"/>
  <c r="D75" i="1"/>
  <c r="E680" i="1"/>
  <c r="E75" i="1" s="1"/>
  <c r="D67" i="1"/>
  <c r="E678" i="1"/>
  <c r="E67" i="1" s="1"/>
  <c r="D138" i="1"/>
  <c r="E138" i="1"/>
  <c r="E737" i="1"/>
  <c r="E726" i="1" s="1"/>
  <c r="E651" i="1"/>
  <c r="E571" i="1" s="1"/>
  <c r="E512" i="1"/>
  <c r="E501" i="1" s="1"/>
  <c r="E245" i="1"/>
  <c r="E385" i="1"/>
  <c r="E374" i="1" s="1"/>
  <c r="D1045" i="1"/>
  <c r="D1035" i="1" s="1"/>
  <c r="D985" i="1"/>
  <c r="D974" i="1" s="1"/>
  <c r="D651" i="1"/>
  <c r="D571" i="1" s="1"/>
  <c r="D737" i="1"/>
  <c r="D726" i="1" s="1"/>
  <c r="C1045" i="1"/>
  <c r="C580" i="1"/>
  <c r="C1268" i="1" s="1"/>
  <c r="C211" i="1"/>
  <c r="C512" i="1"/>
  <c r="C245" i="1"/>
  <c r="C312" i="1"/>
  <c r="C301" i="1" s="1"/>
  <c r="C737" i="1"/>
  <c r="C931" i="1"/>
  <c r="C920" i="1" s="1"/>
  <c r="C447" i="1"/>
  <c r="C436" i="1" s="1"/>
  <c r="E1045" i="1"/>
  <c r="E1035" i="1" s="1"/>
  <c r="E985" i="1"/>
  <c r="E974" i="1" s="1"/>
  <c r="E931" i="1"/>
  <c r="E920" i="1" s="1"/>
  <c r="E244" i="1"/>
  <c r="E1108" i="1"/>
  <c r="E1097" i="1" s="1"/>
  <c r="E114" i="1"/>
  <c r="E126" i="1"/>
  <c r="E489" i="1"/>
  <c r="E915" i="1"/>
  <c r="E721" i="1"/>
  <c r="E497" i="1"/>
  <c r="E163" i="1"/>
  <c r="D145" i="1"/>
  <c r="D115" i="1"/>
  <c r="E115" i="1"/>
  <c r="D109" i="1"/>
  <c r="E109" i="1"/>
  <c r="D104" i="1"/>
  <c r="E104" i="1"/>
  <c r="D99" i="1"/>
  <c r="E99" i="1"/>
  <c r="E52" i="1"/>
  <c r="D135" i="1"/>
  <c r="E135" i="1"/>
  <c r="E51" i="1"/>
  <c r="D77" i="1"/>
  <c r="E765" i="1"/>
  <c r="E77" i="1" s="1"/>
  <c r="D101" i="1"/>
  <c r="E683" i="1"/>
  <c r="E101" i="1" s="1"/>
  <c r="D164" i="1"/>
  <c r="E164" i="1"/>
  <c r="E297" i="1"/>
  <c r="E594" i="1"/>
  <c r="E188" i="1"/>
  <c r="E193" i="1" s="1"/>
  <c r="E961" i="1"/>
  <c r="E116" i="1"/>
  <c r="E80" i="1"/>
  <c r="E129" i="1"/>
  <c r="E1093" i="1"/>
  <c r="E848" i="1"/>
  <c r="E566" i="1"/>
  <c r="E166" i="1"/>
  <c r="E60" i="1"/>
  <c r="C152" i="1"/>
  <c r="E351" i="1"/>
  <c r="D1023" i="1"/>
  <c r="D154" i="1" s="1"/>
  <c r="C88" i="1"/>
  <c r="C91" i="1"/>
  <c r="D107" i="1"/>
  <c r="D188" i="1"/>
  <c r="D193" i="1" s="1"/>
  <c r="D594" i="1"/>
  <c r="C1160" i="1"/>
  <c r="C1267" i="1" s="1"/>
  <c r="C840" i="1"/>
  <c r="C167" i="1"/>
  <c r="D162" i="1"/>
  <c r="C138" i="1"/>
  <c r="C961" i="1"/>
  <c r="C131" i="1" s="1"/>
  <c r="C1152" i="1"/>
  <c r="C139" i="1" s="1"/>
  <c r="M238" i="11"/>
  <c r="M79" i="11"/>
  <c r="E79" i="11" s="1"/>
  <c r="M137" i="11"/>
  <c r="E137" i="11" s="1"/>
  <c r="N138" i="11"/>
  <c r="M138" i="11" s="1"/>
  <c r="E138" i="11" s="1"/>
  <c r="N80" i="11"/>
  <c r="M80" i="11" s="1"/>
  <c r="E80" i="11" s="1"/>
  <c r="G51" i="11"/>
  <c r="C400" i="1" s="1"/>
  <c r="D400" i="1" s="1"/>
  <c r="M157" i="11"/>
  <c r="E157" i="11" s="1"/>
  <c r="N21" i="11"/>
  <c r="C258" i="1" s="1"/>
  <c r="D258" i="1" s="1"/>
  <c r="M15" i="11"/>
  <c r="E15" i="11" s="1"/>
  <c r="G21" i="11"/>
  <c r="C263" i="1" s="1"/>
  <c r="D263" i="1" s="1"/>
  <c r="K51" i="11"/>
  <c r="M322" i="11"/>
  <c r="M101" i="11"/>
  <c r="E101" i="11" s="1"/>
  <c r="M155" i="11"/>
  <c r="E155" i="11" s="1"/>
  <c r="M283" i="11"/>
  <c r="E283" i="11" s="1"/>
  <c r="M171" i="11"/>
  <c r="E171" i="11" s="1"/>
  <c r="F21" i="11"/>
  <c r="G317" i="11"/>
  <c r="E317" i="11" s="1"/>
  <c r="G322" i="11"/>
  <c r="M100" i="11"/>
  <c r="E100" i="11" s="1"/>
  <c r="M140" i="11"/>
  <c r="E140" i="11" s="1"/>
  <c r="M154" i="11"/>
  <c r="E154" i="11" s="1"/>
  <c r="M170" i="11"/>
  <c r="M152" i="11"/>
  <c r="E152" i="11" s="1"/>
  <c r="M244" i="11"/>
  <c r="E244" i="11" s="1"/>
  <c r="N124" i="11"/>
  <c r="M124" i="11" s="1"/>
  <c r="E124" i="11" s="1"/>
  <c r="N175" i="11"/>
  <c r="M175" i="11" s="1"/>
  <c r="E175" i="11" s="1"/>
  <c r="G316" i="11"/>
  <c r="E316" i="11" s="1"/>
  <c r="K21" i="11"/>
  <c r="C264" i="1" s="1"/>
  <c r="D264" i="1" s="1"/>
  <c r="C797" i="1"/>
  <c r="D796" i="1"/>
  <c r="E796" i="1" s="1"/>
  <c r="E246" i="1" s="1"/>
  <c r="D163" i="1"/>
  <c r="D102" i="1"/>
  <c r="D126" i="1"/>
  <c r="D129" i="1"/>
  <c r="D96" i="1"/>
  <c r="D85" i="1"/>
  <c r="D244" i="1"/>
  <c r="D245" i="1"/>
  <c r="D908" i="1"/>
  <c r="D512" i="1"/>
  <c r="D501" i="1" s="1"/>
  <c r="D114" i="1"/>
  <c r="D166" i="1"/>
  <c r="E413" i="1"/>
  <c r="E39" i="1" s="1"/>
  <c r="C39" i="1"/>
  <c r="G92" i="39" s="1"/>
  <c r="G93" i="39" s="1"/>
  <c r="D385" i="1"/>
  <c r="D374" i="1" s="1"/>
  <c r="D116" i="1"/>
  <c r="E698" i="1"/>
  <c r="C113" i="1"/>
  <c r="D447" i="1"/>
  <c r="D436" i="1" s="1"/>
  <c r="D243" i="1"/>
  <c r="D80" i="1"/>
  <c r="D1093" i="1"/>
  <c r="C985" i="1"/>
  <c r="D74" i="36"/>
  <c r="D1030" i="1"/>
  <c r="D848" i="1"/>
  <c r="D721" i="1"/>
  <c r="D370" i="1"/>
  <c r="C711" i="1"/>
  <c r="D961" i="1"/>
  <c r="D131" i="1" s="1"/>
  <c r="D558" i="1"/>
  <c r="D968" i="1"/>
  <c r="D915" i="1"/>
  <c r="D781" i="1"/>
  <c r="E1072" i="1"/>
  <c r="E1077" i="1" s="1"/>
  <c r="C1077" i="1"/>
  <c r="C40" i="1" s="1"/>
  <c r="I92" i="39" s="1"/>
  <c r="C41" i="1"/>
  <c r="H92" i="39" s="1"/>
  <c r="H93" i="39" s="1"/>
  <c r="C38" i="1"/>
  <c r="C43" i="1"/>
  <c r="J92" i="39" s="1"/>
  <c r="C416" i="1"/>
  <c r="E410" i="1"/>
  <c r="D931" i="1"/>
  <c r="D920" i="1" s="1"/>
  <c r="D1108" i="1"/>
  <c r="D1097" i="1" s="1"/>
  <c r="C42" i="1"/>
  <c r="M92" i="39" s="1"/>
  <c r="C35" i="1"/>
  <c r="K92" i="39" s="1"/>
  <c r="C37" i="1"/>
  <c r="L92" i="39" s="1"/>
  <c r="E274" i="1"/>
  <c r="D774" i="1"/>
  <c r="D489" i="1"/>
  <c r="D566" i="1"/>
  <c r="D297" i="1"/>
  <c r="I22" i="36"/>
  <c r="C1108" i="1"/>
  <c r="C1097" i="1" s="1"/>
  <c r="C279" i="1"/>
  <c r="D432" i="1"/>
  <c r="D497" i="1"/>
  <c r="C816" i="1" l="1"/>
  <c r="D816" i="1" s="1"/>
  <c r="C810" i="1"/>
  <c r="D810" i="1" s="1"/>
  <c r="E810" i="1" s="1"/>
  <c r="C811" i="1"/>
  <c r="D811" i="1" s="1"/>
  <c r="E811" i="1" s="1"/>
  <c r="C807" i="1"/>
  <c r="D807" i="1" s="1"/>
  <c r="E807" i="1" s="1"/>
  <c r="E75" i="36"/>
  <c r="M348" i="11"/>
  <c r="C1203" i="1" s="1"/>
  <c r="D1203" i="1" s="1"/>
  <c r="C1196" i="1"/>
  <c r="D1196" i="1" s="1"/>
  <c r="E1196" i="1" s="1"/>
  <c r="C1058" i="1"/>
  <c r="D1058" i="1" s="1"/>
  <c r="E1058" i="1" s="1"/>
  <c r="F351" i="11"/>
  <c r="C257" i="1"/>
  <c r="D257" i="1" s="1"/>
  <c r="F75" i="36"/>
  <c r="C1266" i="1"/>
  <c r="E102" i="1"/>
  <c r="D580" i="1"/>
  <c r="D1268" i="1" s="1"/>
  <c r="D209" i="1"/>
  <c r="H351" i="11"/>
  <c r="E264" i="1"/>
  <c r="K351" i="11"/>
  <c r="E260" i="1"/>
  <c r="I351" i="11"/>
  <c r="M328" i="11"/>
  <c r="C1129" i="1" s="1"/>
  <c r="G328" i="11"/>
  <c r="C1126" i="1" s="1"/>
  <c r="D1126" i="1" s="1"/>
  <c r="N328" i="11"/>
  <c r="C1119" i="1" s="1"/>
  <c r="D1119" i="1" s="1"/>
  <c r="G75" i="36"/>
  <c r="N288" i="11"/>
  <c r="J75" i="36"/>
  <c r="E322" i="11"/>
  <c r="D627" i="1"/>
  <c r="D75" i="36"/>
  <c r="C974" i="1"/>
  <c r="B977" i="1"/>
  <c r="C786" i="1"/>
  <c r="C501" i="1"/>
  <c r="C1035" i="1"/>
  <c r="C853" i="1"/>
  <c r="E261" i="1"/>
  <c r="H356" i="11"/>
  <c r="E882" i="1"/>
  <c r="B892" i="1"/>
  <c r="B923" i="1" s="1"/>
  <c r="E999" i="1"/>
  <c r="B1009" i="1"/>
  <c r="E526" i="1"/>
  <c r="E1055" i="1"/>
  <c r="E263" i="1"/>
  <c r="E661" i="1"/>
  <c r="E400" i="1"/>
  <c r="B406" i="1"/>
  <c r="E327" i="1"/>
  <c r="E323" i="1"/>
  <c r="B334" i="1"/>
  <c r="B377" i="1" s="1"/>
  <c r="E531" i="1"/>
  <c r="C726" i="1"/>
  <c r="C571" i="1"/>
  <c r="E558" i="1"/>
  <c r="E119" i="1"/>
  <c r="E122" i="1"/>
  <c r="E627" i="1"/>
  <c r="C227" i="1"/>
  <c r="I356" i="11"/>
  <c r="F356" i="11"/>
  <c r="K356" i="11"/>
  <c r="E1200" i="1"/>
  <c r="E1194" i="1"/>
  <c r="E343" i="11"/>
  <c r="E348" i="11" s="1"/>
  <c r="B26" i="1"/>
  <c r="E462" i="1"/>
  <c r="E325" i="1"/>
  <c r="E665" i="1"/>
  <c r="E464" i="1"/>
  <c r="E403" i="1"/>
  <c r="E258" i="1"/>
  <c r="D197" i="1"/>
  <c r="D199" i="1" s="1"/>
  <c r="D175" i="1"/>
  <c r="D179" i="1" s="1"/>
  <c r="E290" i="1"/>
  <c r="C1279" i="1"/>
  <c r="C1278" i="1"/>
  <c r="C1287" i="1" s="1"/>
  <c r="M185" i="11"/>
  <c r="C758" i="1" s="1"/>
  <c r="E195" i="11"/>
  <c r="E231" i="11" s="1"/>
  <c r="M231" i="11"/>
  <c r="C818" i="1" s="1"/>
  <c r="G231" i="11"/>
  <c r="C813" i="1" s="1"/>
  <c r="G162" i="11"/>
  <c r="C667" i="1" s="1"/>
  <c r="D667" i="1" s="1"/>
  <c r="M162" i="11"/>
  <c r="C671" i="1" s="1"/>
  <c r="D671" i="1" s="1"/>
  <c r="E162" i="11"/>
  <c r="E170" i="11"/>
  <c r="N231" i="11"/>
  <c r="N185" i="11"/>
  <c r="C748" i="1" s="1"/>
  <c r="D748" i="1" s="1"/>
  <c r="N162" i="11"/>
  <c r="C662" i="1" s="1"/>
  <c r="D662" i="1" s="1"/>
  <c r="E185" i="11"/>
  <c r="E268" i="11"/>
  <c r="E277" i="11" s="1"/>
  <c r="M248" i="11"/>
  <c r="C889" i="1" s="1"/>
  <c r="E238" i="11"/>
  <c r="E248" i="11" s="1"/>
  <c r="N110" i="11"/>
  <c r="C523" i="1" s="1"/>
  <c r="D523" i="1" s="1"/>
  <c r="M110" i="11"/>
  <c r="C534" i="1" s="1"/>
  <c r="E110" i="11"/>
  <c r="E65" i="11"/>
  <c r="M65" i="11"/>
  <c r="C468" i="1" s="1"/>
  <c r="D468" i="1" s="1"/>
  <c r="E51" i="11"/>
  <c r="N65" i="11"/>
  <c r="C459" i="1" s="1"/>
  <c r="D459" i="1" s="1"/>
  <c r="E42" i="11"/>
  <c r="M42" i="11"/>
  <c r="C331" i="1" s="1"/>
  <c r="D331" i="1" s="1"/>
  <c r="D615" i="1"/>
  <c r="E243" i="1"/>
  <c r="E247" i="1" s="1"/>
  <c r="E171" i="1" s="1"/>
  <c r="C247" i="1"/>
  <c r="D39" i="1"/>
  <c r="E834" i="1"/>
  <c r="E840" i="1" s="1"/>
  <c r="D840" i="1"/>
  <c r="D711" i="1"/>
  <c r="C158" i="1"/>
  <c r="E532" i="1"/>
  <c r="E996" i="1"/>
  <c r="E664" i="1"/>
  <c r="E885" i="1"/>
  <c r="E1000" i="1"/>
  <c r="E881" i="1"/>
  <c r="E1059" i="1"/>
  <c r="E669" i="1"/>
  <c r="E884" i="1"/>
  <c r="E525" i="1"/>
  <c r="E401" i="1"/>
  <c r="E879" i="1"/>
  <c r="E469" i="1"/>
  <c r="D1077" i="1"/>
  <c r="M21" i="11"/>
  <c r="C266" i="1" s="1"/>
  <c r="D113" i="1"/>
  <c r="E63" i="1"/>
  <c r="D78" i="1"/>
  <c r="E279" i="1"/>
  <c r="D35" i="1"/>
  <c r="E412" i="1"/>
  <c r="E35" i="1" s="1"/>
  <c r="D481" i="1"/>
  <c r="E476" i="1"/>
  <c r="E481" i="1" s="1"/>
  <c r="D42" i="1"/>
  <c r="E42" i="1"/>
  <c r="D43" i="1"/>
  <c r="E414" i="1"/>
  <c r="D1152" i="1"/>
  <c r="E1136" i="1"/>
  <c r="D88" i="1"/>
  <c r="E1013" i="1"/>
  <c r="E1023" i="1" s="1"/>
  <c r="E154" i="1" s="1"/>
  <c r="E774" i="1"/>
  <c r="E38" i="1"/>
  <c r="D40" i="1"/>
  <c r="E415" i="1"/>
  <c r="E40" i="1" s="1"/>
  <c r="D137" i="1"/>
  <c r="E1147" i="1"/>
  <c r="E137" i="1" s="1"/>
  <c r="D1160" i="1"/>
  <c r="D1267" i="1" s="1"/>
  <c r="E1156" i="1"/>
  <c r="E107" i="1"/>
  <c r="D91" i="1"/>
  <c r="E91" i="1"/>
  <c r="D139" i="1"/>
  <c r="E1151" i="1"/>
  <c r="E197" i="1"/>
  <c r="E615" i="1"/>
  <c r="E580" i="1"/>
  <c r="E1268" i="1" s="1"/>
  <c r="E175" i="1"/>
  <c r="E179" i="1" s="1"/>
  <c r="E797" i="1"/>
  <c r="E786" i="1" s="1"/>
  <c r="E1269" i="1" s="1"/>
  <c r="D60" i="1"/>
  <c r="D363" i="1"/>
  <c r="D167" i="1"/>
  <c r="C17" i="1"/>
  <c r="D37" i="1"/>
  <c r="D246" i="1"/>
  <c r="D247" i="1" s="1"/>
  <c r="D171" i="1" s="1"/>
  <c r="D797" i="1"/>
  <c r="D786" i="1" s="1"/>
  <c r="D1269" i="1" s="1"/>
  <c r="D66" i="1"/>
  <c r="E338" i="1"/>
  <c r="C34" i="1"/>
  <c r="C347" i="1"/>
  <c r="C1265" i="1" s="1"/>
  <c r="D279" i="1"/>
  <c r="D211" i="1"/>
  <c r="D227" i="1" s="1"/>
  <c r="C951" i="1"/>
  <c r="C977" i="1" s="1"/>
  <c r="D41" i="1"/>
  <c r="D38" i="1"/>
  <c r="E522" i="1"/>
  <c r="D416" i="1"/>
  <c r="C808" i="1" l="1"/>
  <c r="D808" i="1" s="1"/>
  <c r="E808" i="1" s="1"/>
  <c r="C45" i="1"/>
  <c r="E92" i="39" s="1"/>
  <c r="F92" i="39"/>
  <c r="E631" i="1"/>
  <c r="D631" i="1"/>
  <c r="E113" i="1"/>
  <c r="C1056" i="1"/>
  <c r="D1056" i="1" s="1"/>
  <c r="E1056" i="1" s="1"/>
  <c r="D813" i="1"/>
  <c r="E813" i="1" s="1"/>
  <c r="D1266" i="1"/>
  <c r="C1269" i="1"/>
  <c r="N351" i="11"/>
  <c r="G351" i="11"/>
  <c r="C269" i="1"/>
  <c r="E328" i="11"/>
  <c r="E199" i="1"/>
  <c r="E227" i="1" s="1"/>
  <c r="E288" i="11"/>
  <c r="M288" i="11"/>
  <c r="C1064" i="1" s="1"/>
  <c r="D1064" i="1" s="1"/>
  <c r="E1064" i="1" s="1"/>
  <c r="B439" i="1"/>
  <c r="B1037" i="1"/>
  <c r="B20" i="1"/>
  <c r="E523" i="1"/>
  <c r="B537" i="1"/>
  <c r="B584" i="1" s="1"/>
  <c r="B633" i="1" s="1"/>
  <c r="B761" i="1"/>
  <c r="B789" i="1" s="1"/>
  <c r="E667" i="1"/>
  <c r="B471" i="1"/>
  <c r="B504" i="1" s="1"/>
  <c r="B1067" i="1"/>
  <c r="B1099" i="1" s="1"/>
  <c r="B1207" i="1"/>
  <c r="B1243" i="1" s="1"/>
  <c r="B822" i="1"/>
  <c r="B856" i="1" s="1"/>
  <c r="E1126" i="1"/>
  <c r="B15" i="1"/>
  <c r="B269" i="1"/>
  <c r="B16" i="1"/>
  <c r="C171" i="1"/>
  <c r="C1280" i="1" s="1"/>
  <c r="E145" i="1"/>
  <c r="D1009" i="1"/>
  <c r="D1037" i="1" s="1"/>
  <c r="C28" i="1"/>
  <c r="E43" i="1"/>
  <c r="E131" i="1"/>
  <c r="D152" i="1"/>
  <c r="D79" i="1"/>
  <c r="E1119" i="1"/>
  <c r="N356" i="11"/>
  <c r="G356" i="11"/>
  <c r="C1207" i="1"/>
  <c r="C1243" i="1" s="1"/>
  <c r="E459" i="1"/>
  <c r="E257" i="1"/>
  <c r="C1288" i="1"/>
  <c r="E1280" i="1"/>
  <c r="E1289" i="1" s="1"/>
  <c r="D1280" i="1"/>
  <c r="D1289" i="1" s="1"/>
  <c r="D1278" i="1"/>
  <c r="D1287" i="1" s="1"/>
  <c r="D1279" i="1"/>
  <c r="D1288" i="1" s="1"/>
  <c r="C1277" i="1"/>
  <c r="C1286" i="1" s="1"/>
  <c r="C406" i="1"/>
  <c r="C439" i="1" s="1"/>
  <c r="C1009" i="1"/>
  <c r="C1037" i="1" s="1"/>
  <c r="E704" i="1"/>
  <c r="D117" i="1"/>
  <c r="C892" i="1"/>
  <c r="C923" i="1" s="1"/>
  <c r="E331" i="1"/>
  <c r="E1127" i="1"/>
  <c r="E21" i="11"/>
  <c r="E363" i="1"/>
  <c r="E41" i="1"/>
  <c r="E416" i="1"/>
  <c r="E347" i="1"/>
  <c r="E34" i="1"/>
  <c r="E37" i="1"/>
  <c r="E1160" i="1"/>
  <c r="E1267" i="1" s="1"/>
  <c r="E162" i="1"/>
  <c r="E167" i="1" s="1"/>
  <c r="E322" i="1"/>
  <c r="E878" i="1"/>
  <c r="E458" i="1"/>
  <c r="D951" i="1"/>
  <c r="D977" i="1" s="1"/>
  <c r="E940" i="1"/>
  <c r="E951" i="1" s="1"/>
  <c r="E977" i="1" s="1"/>
  <c r="E995" i="1"/>
  <c r="D406" i="1"/>
  <c r="D439" i="1" s="1"/>
  <c r="E394" i="1"/>
  <c r="E406" i="1" s="1"/>
  <c r="D17" i="1"/>
  <c r="E1120" i="1"/>
  <c r="E17" i="1" s="1"/>
  <c r="E1123" i="1"/>
  <c r="E88" i="1"/>
  <c r="E1152" i="1"/>
  <c r="E139" i="1" s="1"/>
  <c r="E66" i="1"/>
  <c r="D347" i="1"/>
  <c r="D1265" i="1" s="1"/>
  <c r="D34" i="1"/>
  <c r="D45" i="1" s="1"/>
  <c r="C1276" i="1" l="1"/>
  <c r="C1285" i="1" s="1"/>
  <c r="C1289" i="1"/>
  <c r="E1265" i="1"/>
  <c r="E439" i="1"/>
  <c r="E351" i="11"/>
  <c r="M351" i="11"/>
  <c r="D1207" i="1"/>
  <c r="D1243" i="1" s="1"/>
  <c r="M356" i="11"/>
  <c r="B22" i="1"/>
  <c r="B30" i="1" s="1"/>
  <c r="B674" i="1"/>
  <c r="B729" i="1" s="1"/>
  <c r="B1132" i="1"/>
  <c r="B1167" i="1" s="1"/>
  <c r="B303" i="1"/>
  <c r="B1280" i="1"/>
  <c r="B1289" i="1" s="1"/>
  <c r="E1003" i="1"/>
  <c r="E28" i="1" s="1"/>
  <c r="D28" i="1"/>
  <c r="D21" i="1"/>
  <c r="C21" i="1"/>
  <c r="G440" i="38" s="1"/>
  <c r="G441" i="38" s="1"/>
  <c r="E79" i="1"/>
  <c r="E78" i="1"/>
  <c r="E21" i="1"/>
  <c r="C1132" i="1"/>
  <c r="C1167" i="1" s="1"/>
  <c r="E356" i="11"/>
  <c r="C471" i="1"/>
  <c r="C504" i="1" s="1"/>
  <c r="D158" i="1"/>
  <c r="E1279" i="1"/>
  <c r="E1288" i="1" s="1"/>
  <c r="D1276" i="1"/>
  <c r="D1285" i="1" s="1"/>
  <c r="E1278" i="1"/>
  <c r="E1287" i="1" s="1"/>
  <c r="C303" i="1"/>
  <c r="C1067" i="1"/>
  <c r="C1099" i="1" s="1"/>
  <c r="E266" i="1"/>
  <c r="E269" i="1" s="1"/>
  <c r="E117" i="1"/>
  <c r="E711" i="1"/>
  <c r="E1266" i="1" s="1"/>
  <c r="E461" i="1"/>
  <c r="E1122" i="1"/>
  <c r="E45" i="1"/>
  <c r="E1118" i="1"/>
  <c r="E816" i="1"/>
  <c r="C822" i="1"/>
  <c r="C856" i="1" s="1"/>
  <c r="D1067" i="1" l="1"/>
  <c r="D1099" i="1" s="1"/>
  <c r="B1264" i="1"/>
  <c r="E1203" i="1"/>
  <c r="E1207" i="1" s="1"/>
  <c r="E1243" i="1" s="1"/>
  <c r="E1061" i="1"/>
  <c r="E1067" i="1" s="1"/>
  <c r="E1099" i="1" s="1"/>
  <c r="E1009" i="1"/>
  <c r="E1037" i="1" s="1"/>
  <c r="B1275" i="1"/>
  <c r="B1281" i="1" s="1"/>
  <c r="B182" i="1"/>
  <c r="B229" i="1" s="1"/>
  <c r="E152" i="1"/>
  <c r="E158" i="1" s="1"/>
  <c r="E1276" i="1"/>
  <c r="E1285" i="1" s="1"/>
  <c r="D1277" i="1"/>
  <c r="D1286" i="1" s="1"/>
  <c r="D269" i="1"/>
  <c r="E892" i="1"/>
  <c r="E923" i="1" s="1"/>
  <c r="D892" i="1"/>
  <c r="D923" i="1" s="1"/>
  <c r="D471" i="1"/>
  <c r="D504" i="1" s="1"/>
  <c r="E471" i="1"/>
  <c r="E504" i="1" s="1"/>
  <c r="E303" i="1"/>
  <c r="E822" i="1"/>
  <c r="E856" i="1" s="1"/>
  <c r="E1128" i="1"/>
  <c r="D1132" i="1"/>
  <c r="D1167" i="1" s="1"/>
  <c r="C537" i="1"/>
  <c r="C584" i="1" s="1"/>
  <c r="C633" i="1" s="1"/>
  <c r="D822" i="1"/>
  <c r="D856" i="1" s="1"/>
  <c r="C674" i="1"/>
  <c r="E662" i="1"/>
  <c r="C16" i="1"/>
  <c r="N352" i="11" s="1"/>
  <c r="B1284" i="1" l="1"/>
  <c r="B1290" i="1" s="1"/>
  <c r="B1270" i="1"/>
  <c r="E1277" i="1"/>
  <c r="E1286" i="1" s="1"/>
  <c r="D303" i="1"/>
  <c r="D537" i="1"/>
  <c r="D584" i="1" s="1"/>
  <c r="D633" i="1" s="1"/>
  <c r="E1132" i="1"/>
  <c r="E1167" i="1" s="1"/>
  <c r="C729" i="1"/>
  <c r="E671" i="1" l="1"/>
  <c r="E674" i="1" s="1"/>
  <c r="E729" i="1" s="1"/>
  <c r="E537" i="1"/>
  <c r="E584" i="1" s="1"/>
  <c r="E633" i="1" s="1"/>
  <c r="D674" i="1"/>
  <c r="D729" i="1" l="1"/>
  <c r="C334" i="1" l="1"/>
  <c r="D334" i="1"/>
  <c r="C377" i="1" l="1"/>
  <c r="D377" i="1"/>
  <c r="E324" i="1"/>
  <c r="E334" i="1" l="1"/>
  <c r="E377" i="1" l="1"/>
  <c r="E748" i="1"/>
  <c r="E16" i="1" s="1"/>
  <c r="D16" i="1" l="1"/>
  <c r="C20" i="1"/>
  <c r="C24" i="1"/>
  <c r="C22" i="1"/>
  <c r="C27" i="1"/>
  <c r="K352" i="11" l="1"/>
  <c r="K353" i="11" s="1"/>
  <c r="L93" i="39"/>
  <c r="J440" i="38"/>
  <c r="J441" i="38" s="1"/>
  <c r="G352" i="11"/>
  <c r="G353" i="11" s="1"/>
  <c r="I93" i="39"/>
  <c r="H352" i="11"/>
  <c r="H353" i="11" s="1"/>
  <c r="J93" i="39"/>
  <c r="L352" i="11"/>
  <c r="L353" i="11" s="1"/>
  <c r="M93" i="39"/>
  <c r="C19" i="1"/>
  <c r="D22" i="1"/>
  <c r="C25" i="1"/>
  <c r="K358" i="11"/>
  <c r="E358" i="11"/>
  <c r="I358" i="11"/>
  <c r="G358" i="11"/>
  <c r="H358" i="11"/>
  <c r="N358" i="11"/>
  <c r="N353" i="11"/>
  <c r="J358" i="11"/>
  <c r="M358" i="11"/>
  <c r="E747" i="1"/>
  <c r="D15" i="1"/>
  <c r="E750" i="1"/>
  <c r="E19" i="1" s="1"/>
  <c r="D19" i="1"/>
  <c r="D26" i="1"/>
  <c r="E758" i="1"/>
  <c r="E26" i="1" s="1"/>
  <c r="D25" i="1"/>
  <c r="E757" i="1"/>
  <c r="E25" i="1" s="1"/>
  <c r="C761" i="1"/>
  <c r="C1264" i="1" s="1"/>
  <c r="C15" i="1"/>
  <c r="C26" i="1"/>
  <c r="L358" i="11"/>
  <c r="J352" i="11" l="1"/>
  <c r="J353" i="11" s="1"/>
  <c r="M440" i="38"/>
  <c r="M441" i="38" s="1"/>
  <c r="M352" i="11"/>
  <c r="M353" i="11" s="1"/>
  <c r="L440" i="38"/>
  <c r="L441" i="38" s="1"/>
  <c r="I352" i="11"/>
  <c r="I353" i="11" s="1"/>
  <c r="K93" i="39"/>
  <c r="H440" i="38"/>
  <c r="H441" i="38" s="1"/>
  <c r="F93" i="39"/>
  <c r="N440" i="38"/>
  <c r="N441" i="38" s="1"/>
  <c r="C1270" i="1"/>
  <c r="E753" i="1"/>
  <c r="E22" i="1" s="1"/>
  <c r="E754" i="1"/>
  <c r="E24" i="1" s="1"/>
  <c r="D24" i="1"/>
  <c r="F352" i="11"/>
  <c r="F353" i="11" s="1"/>
  <c r="C30" i="1"/>
  <c r="E352" i="11" s="1"/>
  <c r="D20" i="1"/>
  <c r="E751" i="1"/>
  <c r="E20" i="1" s="1"/>
  <c r="E759" i="1"/>
  <c r="E27" i="1" s="1"/>
  <c r="D27" i="1"/>
  <c r="C789" i="1"/>
  <c r="D761" i="1"/>
  <c r="D1264" i="1" s="1"/>
  <c r="E15" i="1"/>
  <c r="C182" i="1" l="1"/>
  <c r="E93" i="39"/>
  <c r="C1275" i="1"/>
  <c r="C1281" i="1" s="1"/>
  <c r="E353" i="11"/>
  <c r="D1270" i="1"/>
  <c r="D30" i="1"/>
  <c r="D1275" i="1" s="1"/>
  <c r="D1281" i="1" s="1"/>
  <c r="E761" i="1"/>
  <c r="E1264" i="1" s="1"/>
  <c r="E30" i="1"/>
  <c r="D789" i="1"/>
  <c r="C1284" i="1" l="1"/>
  <c r="C1290" i="1" s="1"/>
  <c r="C229" i="1"/>
  <c r="E1275" i="1"/>
  <c r="E1281" i="1" s="1"/>
  <c r="E182" i="1"/>
  <c r="E229" i="1" s="1"/>
  <c r="E1270" i="1"/>
  <c r="E789" i="1"/>
  <c r="D182" i="1"/>
  <c r="D229" i="1" s="1"/>
  <c r="J71" i="36" s="1"/>
  <c r="J72" i="36" s="1"/>
  <c r="C78" i="36" l="1"/>
  <c r="E1284" i="1"/>
  <c r="E1290" i="1" s="1"/>
  <c r="D1284" i="1"/>
  <c r="D1290" i="1" s="1"/>
  <c r="F358" i="11"/>
  <c r="H65" i="36"/>
  <c r="H69" i="36" s="1"/>
  <c r="K65" i="36" l="1"/>
  <c r="K74" i="36"/>
  <c r="I65" i="36"/>
  <c r="I69" i="36" s="1"/>
  <c r="H71" i="36"/>
  <c r="H74" i="36"/>
  <c r="H75" i="36" s="1"/>
  <c r="K69" i="36" l="1"/>
  <c r="K71" i="36" s="1"/>
  <c r="K72" i="36" s="1"/>
  <c r="I71" i="36"/>
  <c r="I72" i="36" s="1"/>
  <c r="I74" i="36"/>
  <c r="I75" i="36" s="1"/>
  <c r="K75" i="36" l="1"/>
  <c r="G72" i="36"/>
</calcChain>
</file>

<file path=xl/sharedStrings.xml><?xml version="1.0" encoding="utf-8"?>
<sst xmlns="http://schemas.openxmlformats.org/spreadsheetml/2006/main" count="2945" uniqueCount="798">
  <si>
    <t>LED &amp; TOURISM DEVELOPMENT &amp; PROMOTION</t>
  </si>
  <si>
    <t>BALANCING TO SOURCE OF FUNDS</t>
  </si>
  <si>
    <t>CORPORATE IMAGE, WEBSITE AND INTERNET</t>
  </si>
  <si>
    <t>WEBSITE MAINTANANCE</t>
  </si>
  <si>
    <t>STAND-BY</t>
  </si>
  <si>
    <t>SUPPORT TO LOCAL INITIATIVES</t>
  </si>
  <si>
    <t xml:space="preserve">GRAP TECHNICAL SUPPORT </t>
  </si>
  <si>
    <t>TOTAL ALLOCATION MBOMBELA LOCAL MUNICIPALITY</t>
  </si>
  <si>
    <t>TOTAL ALLOCATION NKOMAZI MUNICIPALITY</t>
  </si>
  <si>
    <t>TOTAL ALLOCATION THABA CHWEU LOCAL MUNICIPALITY</t>
  </si>
  <si>
    <t>BUSHBUCKRIDGE LOCAL MUNICIPALITY</t>
  </si>
  <si>
    <t>TOTAL ALLOCATION BUSHBUCKRIDGE LOCAL MUNICIPALITY</t>
  </si>
  <si>
    <t>EQUITABLE SHARE</t>
  </si>
  <si>
    <t>FINANCE MANAGEMENT GRANT</t>
  </si>
  <si>
    <t>MUNICIPAL SYSTEMS IMPROVEMENT GRANT</t>
  </si>
  <si>
    <t>SECRETARY: CHIEF WHIP</t>
  </si>
  <si>
    <t>CHIEF WHIP</t>
  </si>
  <si>
    <t>OFFICE OF THE CHIEF WHIP</t>
  </si>
  <si>
    <t>LED &amp; TOURISM</t>
  </si>
  <si>
    <t>PUBLIC PARTICIPATION OFFICER</t>
  </si>
  <si>
    <t>CORPORATE SERVICES</t>
  </si>
  <si>
    <t>SWITCBOARD OPERATOR</t>
  </si>
  <si>
    <t>RECORDS CLERK</t>
  </si>
  <si>
    <t>COMMITTEE ADMINISTRATOR</t>
  </si>
  <si>
    <t xml:space="preserve">TOTAL REMUNERATION </t>
  </si>
  <si>
    <t>LE SWIEGELAAR</t>
  </si>
  <si>
    <t>MCL DE LANGE</t>
  </si>
  <si>
    <t>BM MATHEBULA</t>
  </si>
  <si>
    <t>JN MHLONGO</t>
  </si>
  <si>
    <t>LP MALAMBE</t>
  </si>
  <si>
    <t>AM MACHITHEKA</t>
  </si>
  <si>
    <t>MB MASEGELA</t>
  </si>
  <si>
    <t>NN THABETHE</t>
  </si>
  <si>
    <t>LV BUNTING</t>
  </si>
  <si>
    <t>VACANT</t>
  </si>
  <si>
    <t>PROGRAMS AND CAMPAIGNS</t>
  </si>
  <si>
    <t>MH SHABANGU</t>
  </si>
  <si>
    <t>LJ  SPYDER</t>
  </si>
  <si>
    <t>C DE LANGE</t>
  </si>
  <si>
    <t>S SHONGWE</t>
  </si>
  <si>
    <t>JCVW BURGER</t>
  </si>
  <si>
    <t>QS HADEBE</t>
  </si>
  <si>
    <t>MJ MSOMI</t>
  </si>
  <si>
    <t>SENIOR RECORDS CLERK</t>
  </si>
  <si>
    <t>SR MAHLAKOANE</t>
  </si>
  <si>
    <t>COORDINATOR: INTERGRATED DEVELOPMENT PLANNING</t>
  </si>
  <si>
    <t>DS FAKUDE</t>
  </si>
  <si>
    <t>C PETERSON</t>
  </si>
  <si>
    <t>MP MTHETHWA</t>
  </si>
  <si>
    <t>SUPPLY CHAIN MANAGEMENT OFFICER</t>
  </si>
  <si>
    <t>FINANCE DOCUMENT CONTROL</t>
  </si>
  <si>
    <t>DRIVER</t>
  </si>
  <si>
    <t>ASSISTANT MANAGER: LED</t>
  </si>
  <si>
    <t>LED OFFICER</t>
  </si>
  <si>
    <t>TOURISM OFFICER</t>
  </si>
  <si>
    <t>SECRETARY: MMC- TECHNICAL SERVICES</t>
  </si>
  <si>
    <t>SECRETARY: MMC- FINANCE &amp; SUPPLY CHAIN MANAGEMENT</t>
  </si>
  <si>
    <t>EVENTS &amp; MARKETING MANAGEMENT COORDINATOR</t>
  </si>
  <si>
    <t>DISASTER MANAGEMENT OFFICER</t>
  </si>
  <si>
    <t>P CHAUKE</t>
  </si>
  <si>
    <t>L KHWINANA</t>
  </si>
  <si>
    <t>A SENGWAYO</t>
  </si>
  <si>
    <t>Q MASHELE</t>
  </si>
  <si>
    <t>P DU TOIT</t>
  </si>
  <si>
    <t>Z MASEKO</t>
  </si>
  <si>
    <t>L WINTERBACH</t>
  </si>
  <si>
    <t>RENTAL BOHLABELA OFFICES</t>
  </si>
  <si>
    <t>MEDIA AND LIASON OFFICER</t>
  </si>
  <si>
    <t>W KHUMALO</t>
  </si>
  <si>
    <t>C MNISI</t>
  </si>
  <si>
    <t>P BERLINGTON</t>
  </si>
  <si>
    <t>TP SERITE</t>
  </si>
  <si>
    <t>MS MKHABELA</t>
  </si>
  <si>
    <t>P BAPELA</t>
  </si>
  <si>
    <t xml:space="preserve"> GENERAL EXPENSES</t>
  </si>
  <si>
    <t>IGR COORDINATOR</t>
  </si>
  <si>
    <t>KP KHOZA</t>
  </si>
  <si>
    <t>TL NDABA</t>
  </si>
  <si>
    <t>LM SITHOLE</t>
  </si>
  <si>
    <t>D COMPION</t>
  </si>
  <si>
    <t>CN MBOMBI</t>
  </si>
  <si>
    <t>DP MASONDO</t>
  </si>
  <si>
    <t>SM NKOSI</t>
  </si>
  <si>
    <t>CTCO: TOOLS AND EQUIPMENT</t>
  </si>
  <si>
    <t>PMS OPERATIONAL COSTS- EDM FUNDS</t>
  </si>
  <si>
    <t>RENTAL OF MUNICIPAL FACILITIES</t>
  </si>
  <si>
    <t>TOTAL RENTAL OF MUNICIPAL FACILITIES</t>
  </si>
  <si>
    <t xml:space="preserve">RENTAL OF MUNICIPAL FACILITIES </t>
  </si>
  <si>
    <t xml:space="preserve">TOTAL RENTAL OF MUNICIPAL FACILITIES </t>
  </si>
  <si>
    <t>EQUITABLE RSC LEVIES REPLACEMENT</t>
  </si>
  <si>
    <t>EQUITABLE SHARE FORMULA</t>
  </si>
  <si>
    <t>P MPANTSHA</t>
  </si>
  <si>
    <t>C MAHLANGU</t>
  </si>
  <si>
    <t>TOTAL OPERATING  INCOME</t>
  </si>
  <si>
    <t>CONDITIONAL GRANTS- DORA</t>
  </si>
  <si>
    <t>Equitable share: RSC Levies Replacement</t>
  </si>
  <si>
    <t>OPERATING (SURPLUS)/ LOSS</t>
  </si>
  <si>
    <t xml:space="preserve">REMUNERATION OF COUNCILLORS </t>
  </si>
  <si>
    <t>REMUNERATION OF COUNCILLORS</t>
  </si>
  <si>
    <t>ANALYSING OF SAMPLES</t>
  </si>
  <si>
    <t>FINANCE AND SUPPLY CHAIN MANAGEMENT</t>
  </si>
  <si>
    <t>CONFERENCE &amp; CONGRESS</t>
  </si>
  <si>
    <t>SITTING ALLOWANCE</t>
  </si>
  <si>
    <t>CELLPHONE ALLOWANCE: FULL TIME COUNCILLORS</t>
  </si>
  <si>
    <t>CELLPHONE ALLOWANCE: PART TIME COUNCILLORS</t>
  </si>
  <si>
    <t>Remuneration of councillors</t>
  </si>
  <si>
    <t>GIS OPERATIONAL COSTS</t>
  </si>
  <si>
    <t>RELOCATION &amp; RECRUITMENT COSTS</t>
  </si>
  <si>
    <t>INCLUDING BOHL</t>
  </si>
  <si>
    <t>SP KHUMALO</t>
  </si>
  <si>
    <t>L DE WET</t>
  </si>
  <si>
    <t>EDM</t>
  </si>
  <si>
    <t>TECHNICAL SERVICES</t>
  </si>
  <si>
    <t>MARKETING &amp; PUBLICITY</t>
  </si>
  <si>
    <t>MAM - SAFETY &amp; SECURITY</t>
  </si>
  <si>
    <t>NKOMAZI LOCAL MUNICIPALITY</t>
  </si>
  <si>
    <t>THABA CHWEU LOCAL MUNICIPALITY</t>
  </si>
  <si>
    <t>TOTAL CONTRIBUTION TO FUNDS</t>
  </si>
  <si>
    <t>SUB TOTAL EXPENDITURE</t>
  </si>
  <si>
    <t>LESS AMOUNT DEBITED OUT</t>
  </si>
  <si>
    <t>TOTAL LESS AMOUNT DEBITED OUT</t>
  </si>
  <si>
    <t>TOTAL EXPENDITURE</t>
  </si>
  <si>
    <t>INCOME</t>
  </si>
  <si>
    <t>INTEREST</t>
  </si>
  <si>
    <t>TOTAL INTEREST</t>
  </si>
  <si>
    <t>SUNDRY INCOME</t>
  </si>
  <si>
    <t>TOTAL SUNDRY INCOME</t>
  </si>
  <si>
    <t>TOTAL INCOME</t>
  </si>
  <si>
    <t>SURPLUS/DEFICIT</t>
  </si>
  <si>
    <t>TOTAL CONTRIBUTION TO CAPITAL OUTLAY</t>
  </si>
  <si>
    <t>EXECUTIVE MAYOR</t>
  </si>
  <si>
    <t>Finance Management Grant</t>
  </si>
  <si>
    <t>INTEREST ON INVESTMENT</t>
  </si>
  <si>
    <t>PENSION FUND COUNCIL CONTRIBUTION</t>
  </si>
  <si>
    <t>SPEAKER</t>
  </si>
  <si>
    <t>MAYORAL COMMITTEE</t>
  </si>
  <si>
    <t>MUNICIPAL MANAGER</t>
  </si>
  <si>
    <t>ADVERTISING</t>
  </si>
  <si>
    <t>BANK CHARGES</t>
  </si>
  <si>
    <t>COMPUTOR MAINTENANCE AND SUPPORT</t>
  </si>
  <si>
    <t>CASH COLLECTION SERVICES</t>
  </si>
  <si>
    <t>ENTERTAINMENT</t>
  </si>
  <si>
    <t>FIRST AID STOCK</t>
  </si>
  <si>
    <t>FUEL AND LUBRICANTS</t>
  </si>
  <si>
    <t>INSURANCE</t>
  </si>
  <si>
    <t>HANDY MAN SERVICES</t>
  </si>
  <si>
    <t>LEGAL COST</t>
  </si>
  <si>
    <t>ENGINEERING MEMBERSHIP FEES</t>
  </si>
  <si>
    <t>MEDICAL AID CONTRIBUTION</t>
  </si>
  <si>
    <t>OFFICE RENTAL</t>
  </si>
  <si>
    <t>POST BAG AND POST BOX RENTAL</t>
  </si>
  <si>
    <t>POSTAGE AND STAMPS</t>
  </si>
  <si>
    <t>PROTECTIVE CLOTHING</t>
  </si>
  <si>
    <t>PENSION FUND CONTRIBUTION</t>
  </si>
  <si>
    <t>REFERENCE BOOKS &amp; PERIODICALS</t>
  </si>
  <si>
    <t>TRAVELING AND SUBSISTANCE</t>
  </si>
  <si>
    <t>VEHICLES LICENSES</t>
  </si>
  <si>
    <t>ACTING ALLOWANCE</t>
  </si>
  <si>
    <t>MATERIAL AND STOCK</t>
  </si>
  <si>
    <t>PRINTING AND STATIONERY</t>
  </si>
  <si>
    <t>TELEPHONE</t>
  </si>
  <si>
    <t>SALARIES</t>
  </si>
  <si>
    <t>HOUSING ALLOWANCES</t>
  </si>
  <si>
    <t>MEDICAL FUND COUNCIL CONTRIBUTION</t>
  </si>
  <si>
    <t>OVERTIME</t>
  </si>
  <si>
    <t>TRAVELING ALLOWANCES</t>
  </si>
  <si>
    <t>UNEMPLOYMENT INSURANCE FUND</t>
  </si>
  <si>
    <t>S.A.R.S SKILLS LEVY</t>
  </si>
  <si>
    <t>INDUSTRIAL LEVY</t>
  </si>
  <si>
    <t>EQUIPMENT RENTAL AND SERVICES</t>
  </si>
  <si>
    <t>SUMMARY</t>
  </si>
  <si>
    <t>EHLANZENI DISTRICT MUNICIPALITY</t>
  </si>
  <si>
    <t xml:space="preserve"> </t>
  </si>
  <si>
    <t>A general salary increase of</t>
  </si>
  <si>
    <t>is built in</t>
  </si>
  <si>
    <t>A medical aid increase of</t>
  </si>
  <si>
    <t>INCUMBENT</t>
  </si>
  <si>
    <t>POST</t>
  </si>
  <si>
    <t>TOTAL</t>
  </si>
  <si>
    <t>SALARY</t>
  </si>
  <si>
    <t>PENSION</t>
  </si>
  <si>
    <t>MEDICAL AID</t>
  </si>
  <si>
    <t>HOUSING</t>
  </si>
  <si>
    <t>UIF</t>
  </si>
  <si>
    <t>TRANSPORT</t>
  </si>
  <si>
    <t>INDUSTRIAL</t>
  </si>
  <si>
    <t xml:space="preserve">S A R S </t>
  </si>
  <si>
    <t>LEAVE</t>
  </si>
  <si>
    <t>LEVEL</t>
  </si>
  <si>
    <t>COSTS</t>
  </si>
  <si>
    <t>CONTRIBUTION</t>
  </si>
  <si>
    <t>SUBSIDY</t>
  </si>
  <si>
    <t>ALLOWANCE</t>
  </si>
  <si>
    <t>LEVY</t>
  </si>
  <si>
    <t>SKILLS LEVY</t>
  </si>
  <si>
    <t>BONUS</t>
  </si>
  <si>
    <t>JUNIOR INTERNAL AUDITOR</t>
  </si>
  <si>
    <t>RECORDS MANAGER</t>
  </si>
  <si>
    <t>BURSARIES EMPLOYEES</t>
  </si>
  <si>
    <t>NO OF PERSONNEL</t>
  </si>
  <si>
    <t>TOTAL NO OF PERSONNEL</t>
  </si>
  <si>
    <t>OPERATING BUDGET AMOUNTS</t>
  </si>
  <si>
    <t>TEST</t>
  </si>
  <si>
    <t>GENERAL EXPENSES</t>
  </si>
  <si>
    <t>Equitable share</t>
  </si>
  <si>
    <t>Municipal Systems Improvement Grant</t>
  </si>
  <si>
    <t>FUNDS ALLOCATED TO COUNCIL ITO DORA</t>
  </si>
  <si>
    <t>Budget</t>
  </si>
  <si>
    <t>SALARIES WAGES AND ALLOWANCES</t>
  </si>
  <si>
    <t>TOTAL SALARY WAGES AND ALLOWANCES</t>
  </si>
  <si>
    <t>TOTAL GENERAL EXPENSES</t>
  </si>
  <si>
    <t>REPAIR AND MAINTENANCE</t>
  </si>
  <si>
    <t>TOTAL REPAIR AND MAINTENANCE</t>
  </si>
  <si>
    <t>CONTRIBUTION TO CAPITAL OUTLAY</t>
  </si>
  <si>
    <t>TOTAL CONTRIBUTIONS TO CAPITAL OUTLAY</t>
  </si>
  <si>
    <t>CONTRIBUTION TO FUNDS</t>
  </si>
  <si>
    <t>PROFESSIONAL SERVICES</t>
  </si>
  <si>
    <t>MUNICIPAL HEALTH OPERATIONAL COSTS</t>
  </si>
  <si>
    <t>MEMBERSHIP FEES SALGA</t>
  </si>
  <si>
    <t>OFFICE OF THE EXECUTIVE MAYOR</t>
  </si>
  <si>
    <t xml:space="preserve">OFFICE OF THE SPEAKER </t>
  </si>
  <si>
    <t>OFFICE OF THE MUNICIPAL MANAGER</t>
  </si>
  <si>
    <t>BACTERIOLOGICAL TEST</t>
  </si>
  <si>
    <t>ALLOWANCES COUNCILLORS FIXED</t>
  </si>
  <si>
    <t>ALLOWANCES COUNCILLORS TRAVEL</t>
  </si>
  <si>
    <t>ALLOWANCES COUNCILLORS HOUSING</t>
  </si>
  <si>
    <t>OTHER INCOME</t>
  </si>
  <si>
    <t>TOTAL OTHER INCOME</t>
  </si>
  <si>
    <t xml:space="preserve">INTERNAL AUDIT </t>
  </si>
  <si>
    <t>INTERNAL AUDIT</t>
  </si>
  <si>
    <t>DISASTER MANAGEMENT OPERATIONAL COSTS</t>
  </si>
  <si>
    <t>COMMUNITY OUTREACH</t>
  </si>
  <si>
    <t>GENERAL ATTENDANT</t>
  </si>
  <si>
    <t>CONTROL</t>
  </si>
  <si>
    <t>Salaries wages and allowances</t>
  </si>
  <si>
    <t>General expenses</t>
  </si>
  <si>
    <t>Repair and maintenance</t>
  </si>
  <si>
    <t>Contribution to funds</t>
  </si>
  <si>
    <t>Contribution to capital outlay</t>
  </si>
  <si>
    <t>Total expenditure</t>
  </si>
  <si>
    <t>FROM SUMMARY</t>
  </si>
  <si>
    <t>DIFFERENCE</t>
  </si>
  <si>
    <t>ALLOWANCES: APPOINTED COUNCILLORS</t>
  </si>
  <si>
    <t>SKILLS DEVELOPMENT: EMPLOYEES</t>
  </si>
  <si>
    <t>R&amp;M: OFFICE MACHINES AND EQUIPMENT</t>
  </si>
  <si>
    <t>R&amp;M: OFFICE FURNITURE AND EQUIPMENT</t>
  </si>
  <si>
    <t>R&amp;M: FIRE BRIGADE WAGONETTES</t>
  </si>
  <si>
    <t>R&amp;M: VEHICLES</t>
  </si>
  <si>
    <t>CTF: AUDIT FEES</t>
  </si>
  <si>
    <t>CTF: BAD DEBTS</t>
  </si>
  <si>
    <t>CTCO: OFFICE MACHINES &amp; EQUIPMENT</t>
  </si>
  <si>
    <t>CTCO: OFFICE FURNITURE &amp; EQUIPMENT</t>
  </si>
  <si>
    <t>CTCO: VEHICLES</t>
  </si>
  <si>
    <t>CTCO: TOOLS AND ACCESSORIES</t>
  </si>
  <si>
    <t>Project  Costs  exclude  VAT</t>
  </si>
  <si>
    <t>FUNDER</t>
  </si>
  <si>
    <t>Department</t>
  </si>
  <si>
    <t>IDP REVIEW</t>
  </si>
  <si>
    <t>DISTRICT DISASTER MANAGEMENT ADVISORY FORUM</t>
  </si>
  <si>
    <t xml:space="preserve"> TOTAL EXPENDITURE</t>
  </si>
  <si>
    <t>TRADE ZONES</t>
  </si>
  <si>
    <t>MAYOR'S BURSARIES</t>
  </si>
  <si>
    <t>N KGOMO</t>
  </si>
  <si>
    <t>BP MLANGENI</t>
  </si>
  <si>
    <t>LK LESHABA</t>
  </si>
  <si>
    <t>SKILLS DEVELOPMENT LEVY</t>
  </si>
  <si>
    <t>INTEREST ON EXTERNAL LOAN DBSA</t>
  </si>
  <si>
    <t>SKILLS DEVELOPMENT:EMPLOYEES</t>
  </si>
  <si>
    <t>JM NYALUNGA</t>
  </si>
  <si>
    <t>LONG TERM DEVELOPMENT STRATEGY</t>
  </si>
  <si>
    <t>EMPLOYEE ASSISTANCE PROGRAMME</t>
  </si>
  <si>
    <t>VOLUNTEER PROGRAMME</t>
  </si>
  <si>
    <t>AWARENESS CAMPAIGNS</t>
  </si>
  <si>
    <t>INCIDENT COMMAND VEHICLE EQUIPMENT MAINTANANCE</t>
  </si>
  <si>
    <t>TOURISM INDABA</t>
  </si>
  <si>
    <t>REDEMPTION OF LEAVE</t>
  </si>
  <si>
    <t>PLANNING INFORMATION</t>
  </si>
  <si>
    <t>PROFESSIONAL MEMBERSHIP</t>
  </si>
  <si>
    <t>ALLOWANCE INTERN</t>
  </si>
  <si>
    <t>IGR WATER COLLABORATION FORUM</t>
  </si>
  <si>
    <t>National Department Roads &amp; Transport</t>
  </si>
  <si>
    <t>HIV/AIDS MOBILISATION PROGRAMS</t>
  </si>
  <si>
    <t>WATER</t>
  </si>
  <si>
    <t>RATES</t>
  </si>
  <si>
    <t>INTERFACE WITH TRADITIONAL LEADERS</t>
  </si>
  <si>
    <t>MORAL REGENERATION</t>
  </si>
  <si>
    <t>EDM SPEAKERS FORUM</t>
  </si>
  <si>
    <t>CAPACITY BUILDING (COUNCILLORS)</t>
  </si>
  <si>
    <t>BUDGET ANALYST &amp; MONITORING OFFICER</t>
  </si>
  <si>
    <t>S GLADILE</t>
  </si>
  <si>
    <t>N PULUMO</t>
  </si>
  <si>
    <t>GV KLAAS</t>
  </si>
  <si>
    <t>NC MONDLANE</t>
  </si>
  <si>
    <t>GS MKHWANAZI</t>
  </si>
  <si>
    <t>NF MABUZA</t>
  </si>
  <si>
    <t>KD MKHWANAZI</t>
  </si>
  <si>
    <t>SC DLAMINI</t>
  </si>
  <si>
    <t>PV ZULU</t>
  </si>
  <si>
    <t>CT  NGOMANE</t>
  </si>
  <si>
    <t>Department of Public Works</t>
  </si>
  <si>
    <t>CONFERENCE AND SEMINARS</t>
  </si>
  <si>
    <t>RENTAL:DMC</t>
  </si>
  <si>
    <t>RENTAL:CANTEEN</t>
  </si>
  <si>
    <t>ADMINISTRATION OFFICER:MUNICIPAL HEALTH</t>
  </si>
  <si>
    <t>DRIVER: EXECUTIVE MAYOR</t>
  </si>
  <si>
    <t>IMPLEMENTATION OF CORPORATE GIS</t>
  </si>
  <si>
    <t>GIS BASELINE ACQUISITION</t>
  </si>
  <si>
    <t>AIR QUALITY MANAGEMENT PLAN</t>
  </si>
  <si>
    <t>DISASTER MANAGEMENT PLAN</t>
  </si>
  <si>
    <t>INDIVIDUAL PMS</t>
  </si>
  <si>
    <t>METRO FM AWARDS</t>
  </si>
  <si>
    <t>PROGRAMMES AND SUPPORT</t>
  </si>
  <si>
    <t>INTEREST CURRENT BANK ACCOUNT</t>
  </si>
  <si>
    <t>KABOKWENI STADIUM</t>
  </si>
  <si>
    <t>PMS OPERATIONAL COSTS-EDM FUNDS</t>
  </si>
  <si>
    <t>INTERST ON CURRENT BANK ACCOUNT</t>
  </si>
  <si>
    <t>KABOKWENI STADIUM 2010</t>
  </si>
  <si>
    <t>S VON BARDELEBEN</t>
  </si>
  <si>
    <t>SMME DEVELOPMENT</t>
  </si>
  <si>
    <t>YOUTH PROGRAMMES</t>
  </si>
  <si>
    <t>DISABILITY PROGRAMMES</t>
  </si>
  <si>
    <t>WOMEN'S COUNCIL DIALOGUE</t>
  </si>
  <si>
    <t xml:space="preserve"> RURAL DEVELOPMENT </t>
  </si>
  <si>
    <t xml:space="preserve">MUNICIPAL HEALTH &amp; ENVIRONMENTAL MANAGEMENT </t>
  </si>
  <si>
    <t>DISASTER MANAGEMENT  &amp; PUBLIC SAFETY</t>
  </si>
  <si>
    <t>MUNICIPAL HEALTH &amp; ENVIRONMENTAL MANAGEMENT</t>
  </si>
  <si>
    <t>SOCIAL SERVICES &amp; TRANSVERSAL PROGRAMMES</t>
  </si>
  <si>
    <t>CHIEF WHIP'S INTERFACE PROGRAMMES</t>
  </si>
  <si>
    <t>DISASTER MANAGEMENT AND PUBLIC SAFETY</t>
  </si>
  <si>
    <t>ADJUSTMENT</t>
  </si>
  <si>
    <t>ALLOWANCE TELEPHONE</t>
  </si>
  <si>
    <t>INSURANCE COUNCIL</t>
  </si>
  <si>
    <t>CTF: DEPRECIATION</t>
  </si>
  <si>
    <t>CTF: PERFOMANCE BONUS</t>
  </si>
  <si>
    <t>AJ DLAMINI</t>
  </si>
  <si>
    <t>ID MOOSA</t>
  </si>
  <si>
    <t>SECURITY:EXECUTIVE MAYOR</t>
  </si>
  <si>
    <t>PF SIBIYA</t>
  </si>
  <si>
    <t>JM NKUNA</t>
  </si>
  <si>
    <t>SP MBOKANE</t>
  </si>
  <si>
    <t>AS MTHETHWA</t>
  </si>
  <si>
    <t>SM MASHEGO</t>
  </si>
  <si>
    <t>VB KHUMALO</t>
  </si>
  <si>
    <t>IL MAKOFANE</t>
  </si>
  <si>
    <t>SECRETARY: MMC - MUNICIPAL HEALTH</t>
  </si>
  <si>
    <t>NPG MDLULI</t>
  </si>
  <si>
    <t>ML NKOSI</t>
  </si>
  <si>
    <t xml:space="preserve">        3B</t>
  </si>
  <si>
    <t xml:space="preserve">         3B</t>
  </si>
  <si>
    <t>PZ NGOMANE</t>
  </si>
  <si>
    <t>L N NGOMANE</t>
  </si>
  <si>
    <t>NNC SIKONELA</t>
  </si>
  <si>
    <t>FM MOKOENA</t>
  </si>
  <si>
    <t>EC MKHONTO</t>
  </si>
  <si>
    <t>TG NGWENYA</t>
  </si>
  <si>
    <t xml:space="preserve">          4A</t>
  </si>
  <si>
    <t>LP MASHEGO</t>
  </si>
  <si>
    <t>TP DLAMINI</t>
  </si>
  <si>
    <t>RS MASANGO</t>
  </si>
  <si>
    <t>HTM MAGAGULA</t>
  </si>
  <si>
    <t>SJ TIBANE</t>
  </si>
  <si>
    <t>MA DIEDERICKS</t>
  </si>
  <si>
    <t>JW BOTHMA</t>
  </si>
  <si>
    <t>GM CHILOANE</t>
  </si>
  <si>
    <t>HO NGOMANE</t>
  </si>
  <si>
    <t>MEC MABASO</t>
  </si>
  <si>
    <t xml:space="preserve">TI MASHABA </t>
  </si>
  <si>
    <t>RURAL DEVELOPMENT OFFICER</t>
  </si>
  <si>
    <t>MJ NDLOVU</t>
  </si>
  <si>
    <t>NP MSOMI</t>
  </si>
  <si>
    <t>EPWP COORDINATOR</t>
  </si>
  <si>
    <t>NP MAHLALELA</t>
  </si>
  <si>
    <t>ACTING</t>
  </si>
  <si>
    <t>DEVELOPMENT OF IT STRATEGIC PLAN</t>
  </si>
  <si>
    <t>FACILITY MANAGEMENT SERVICES-MATERIALS</t>
  </si>
  <si>
    <t>RESOURCE &amp; INFORMATION CENTRE</t>
  </si>
  <si>
    <t>LEARNERSHIP PROGRAMMES &amp; INTERNSHIP</t>
  </si>
  <si>
    <t>DISASTER MANAGEMENT EMERGENCY RELIEF</t>
  </si>
  <si>
    <t>EDM CENTRAL IMPROVEMENT DISTRICT</t>
  </si>
  <si>
    <t>SAFETY AMBASSADORS</t>
  </si>
  <si>
    <t>EDM CLEAN UP CAMPAIGN IN ALL LM'S</t>
  </si>
  <si>
    <t>LED OUTREACH PROGRAM BUSINESS DAYS FOR COMMUNITIES</t>
  </si>
  <si>
    <t>GIS SUPPORT TO LM'S</t>
  </si>
  <si>
    <t>CORPORATE GIS SHARED SERVICES</t>
  </si>
  <si>
    <t>INTERGRATION OF GIS SYSTEM WITH BUSINESS SYSTEMS</t>
  </si>
  <si>
    <t>COMMUNITY PROFILING THROUGH RESEARCH</t>
  </si>
  <si>
    <t>AIDS COUNCILS</t>
  </si>
  <si>
    <t>GRANT FROM BARBETON MINES</t>
  </si>
  <si>
    <t>CONDITIONAL GRANTS</t>
  </si>
  <si>
    <t>IT OUTSOURCE AUDIT</t>
  </si>
  <si>
    <t xml:space="preserve">SOCIAL SERVICES </t>
  </si>
  <si>
    <t>PROFESSIONAL FEE</t>
  </si>
  <si>
    <t>IMIMEMO</t>
  </si>
  <si>
    <t>HANDYMAN</t>
  </si>
  <si>
    <t>RISK MANAGEMENT OFFICER</t>
  </si>
  <si>
    <t>S SHABANGU</t>
  </si>
  <si>
    <t>C MDLULI</t>
  </si>
  <si>
    <t>PERSONAL ASSISTANT:MUNICIPAL MANAGER</t>
  </si>
  <si>
    <t>C BRENKMAN</t>
  </si>
  <si>
    <t>SECRETARY : MANAGER MUNICIPAL HEALTH</t>
  </si>
  <si>
    <t>E MAPHANGA</t>
  </si>
  <si>
    <t>SR MHLONGO</t>
  </si>
  <si>
    <t>DIVIDENDS RECEIVED</t>
  </si>
  <si>
    <t>RISK ASSESSMENT</t>
  </si>
  <si>
    <t>CONTRIBUTION TO UIF</t>
  </si>
  <si>
    <t>Rural Road Asset Management Systems Grant</t>
  </si>
  <si>
    <t>Energy Efficiency and Demand Side Management Grant</t>
  </si>
  <si>
    <t>RURAL ROAD ASSET MANAGEMENT SYSTEM</t>
  </si>
  <si>
    <t>DISASTER RISK PROFILLING</t>
  </si>
  <si>
    <t>ANNUAL REPORT</t>
  </si>
  <si>
    <t>MINIMUM COMPETENCY</t>
  </si>
  <si>
    <t>DoE</t>
  </si>
  <si>
    <t>ROADS</t>
  </si>
  <si>
    <t>MS NTANDANE</t>
  </si>
  <si>
    <t>DEPUTY MANAGER:RURAL DEVELOPMENT &amp; MUNICIPAL SUPPORT</t>
  </si>
  <si>
    <t>NS KHOZA</t>
  </si>
  <si>
    <t>T KHOZA</t>
  </si>
  <si>
    <t>CHIEF AUDIT EXECUTIVE</t>
  </si>
  <si>
    <t>B MDAKANE</t>
  </si>
  <si>
    <t>S BONINI</t>
  </si>
  <si>
    <t>RENTAL: ATM STANDARD BANK</t>
  </si>
  <si>
    <t>HEALTH CERTIFICATE</t>
  </si>
  <si>
    <t>RSC INCOME BAD DEBT RECOVERY</t>
  </si>
  <si>
    <t>INTEREST OTHER</t>
  </si>
  <si>
    <t>VECTOR CONTROL</t>
  </si>
  <si>
    <t>SCM COMPLIANCE OFFICER</t>
  </si>
  <si>
    <t>MPAC OPERATIONAL COSTS</t>
  </si>
  <si>
    <t>J NTIMANE</t>
  </si>
  <si>
    <t>IT OFFICER</t>
  </si>
  <si>
    <t>GRAPHIC DESIGNER</t>
  </si>
  <si>
    <t>SKILLS DEVELOPMENT FACILITATOR</t>
  </si>
  <si>
    <t>SECRETARY: MANAGER CORPORATE SERVICES</t>
  </si>
  <si>
    <t>CHIEF TECHNICIAN: ROADS AND TRANSPORT</t>
  </si>
  <si>
    <t>CHIEF TECHNICIAN:ELECTRICAL</t>
  </si>
  <si>
    <t>ADMIN OFFICER: OFFICE OF THE SPEAKER</t>
  </si>
  <si>
    <t>MRM OFFICER</t>
  </si>
  <si>
    <t>SECRETARY: MANAGER TECHNICAL</t>
  </si>
  <si>
    <t>COUNCIL SECRETARIAT</t>
  </si>
  <si>
    <t>SENIOR TYPIST</t>
  </si>
  <si>
    <t>TYPIST</t>
  </si>
  <si>
    <t>ADMIN OFFICER:COMMUNICATIONS</t>
  </si>
  <si>
    <t>SENIOR TOURISM OFFICER</t>
  </si>
  <si>
    <t>R8</t>
  </si>
  <si>
    <t>R9</t>
  </si>
  <si>
    <t xml:space="preserve">ACTING </t>
  </si>
  <si>
    <t xml:space="preserve">ASSISTANCE TO LOCAL MUNICIPALITIES </t>
  </si>
  <si>
    <t>R MAKWAKWA</t>
  </si>
  <si>
    <t>S MSOMI</t>
  </si>
  <si>
    <t>G ZULU</t>
  </si>
  <si>
    <t>M NGANDWE</t>
  </si>
  <si>
    <t>N DHLAMINI</t>
  </si>
  <si>
    <t>M MAKUKULE</t>
  </si>
  <si>
    <t>T GOGWANE</t>
  </si>
  <si>
    <t>T SAMBO</t>
  </si>
  <si>
    <t>I MABUZA</t>
  </si>
  <si>
    <t>N VILAKAZI</t>
  </si>
  <si>
    <t>Z MASILELA</t>
  </si>
  <si>
    <t>T KGOPANE</t>
  </si>
  <si>
    <t>HUMAN RESOURCE OFFICER</t>
  </si>
  <si>
    <t>B THELA</t>
  </si>
  <si>
    <t>DEPUTY MANAGER: MUNICIPAL HEALTH SERVICES</t>
  </si>
  <si>
    <t>CHIEF ENVIRONMENTAL HEALTH PRACTITIONER</t>
  </si>
  <si>
    <t>R NTUSI</t>
  </si>
  <si>
    <t>G PHASWANA</t>
  </si>
  <si>
    <t>S SALIWA</t>
  </si>
  <si>
    <t>SECRETARY: MMC - DISASTER MANAGEMENT</t>
  </si>
  <si>
    <t>MONITIRING AND EVALUATIONS OFFICER</t>
  </si>
  <si>
    <t>K SEBOTHOMA</t>
  </si>
  <si>
    <t>OCCUPATIONAL HEALTH &amp; SAFETY OFFICER</t>
  </si>
  <si>
    <t>STANDBY ALLOWANCE</t>
  </si>
  <si>
    <t>Dept of Finance (MPU)</t>
  </si>
  <si>
    <t>2017/2018</t>
  </si>
  <si>
    <t>MAKHONJWA HERITAGE SITE</t>
  </si>
  <si>
    <t>PERSONNEL CLERK</t>
  </si>
  <si>
    <t>AN MASINGA</t>
  </si>
  <si>
    <t xml:space="preserve">PUBLIC PARTICIPATION AND CONSULTATION PROCESS </t>
  </si>
  <si>
    <t>INTERN GIS</t>
  </si>
  <si>
    <t>PP MKHONTO</t>
  </si>
  <si>
    <t>GIS  TECHNICIAN</t>
  </si>
  <si>
    <t>AUDIT AND RISK COMMITTEE</t>
  </si>
  <si>
    <t>SECURITY SERVICES</t>
  </si>
  <si>
    <t>MUNICIPAL HEALTH INTERN</t>
  </si>
  <si>
    <t>DWS</t>
  </si>
  <si>
    <t>ZM KHOZA</t>
  </si>
  <si>
    <t>TM MNDZAWE</t>
  </si>
  <si>
    <t>MT NKOSI</t>
  </si>
  <si>
    <t>ADMIN OFFICER: OFFICE OF THE MM</t>
  </si>
  <si>
    <t>SECRETARY: MMC- CORPORATE SERVICES</t>
  </si>
  <si>
    <t>SECRETARY: MMC- SOCIAL SERVICES</t>
  </si>
  <si>
    <t>2018/2019</t>
  </si>
  <si>
    <t>2016/2017</t>
  </si>
  <si>
    <t>INTERN</t>
  </si>
  <si>
    <t>MJ NTWAMPE</t>
  </si>
  <si>
    <t>LMT TSOTETSI</t>
  </si>
  <si>
    <t>NE KHOSA</t>
  </si>
  <si>
    <t>ZR MDLULI</t>
  </si>
  <si>
    <t>LP MDLULI</t>
  </si>
  <si>
    <t>N NETSHIMBUPFE</t>
  </si>
  <si>
    <t>INTERN RISK</t>
  </si>
  <si>
    <t>TI NDHLOVU</t>
  </si>
  <si>
    <t>ADMNISTRATION OFFICER IDP</t>
  </si>
  <si>
    <t>KHOZA KC</t>
  </si>
  <si>
    <t>SECRETARY: MMC - LED &amp; TOURISM</t>
  </si>
  <si>
    <t>WS NYAKANE</t>
  </si>
  <si>
    <t>INTERN FINANCE</t>
  </si>
  <si>
    <t>KP LUKHELE</t>
  </si>
  <si>
    <t>CSZ HUTCHINSON</t>
  </si>
  <si>
    <t>SB KHOZA</t>
  </si>
  <si>
    <t>VS NGWENYA</t>
  </si>
  <si>
    <t>M GWALA</t>
  </si>
  <si>
    <t>R&amp;M: OFFICE BUILDING</t>
  </si>
  <si>
    <t>ENVIRONMENTAL HEALTH PRACTITIONER (NKOMAZI)</t>
  </si>
  <si>
    <t>ENVIRONMENTAL HEALTH PRACTITIONER (WHITE RIVER)</t>
  </si>
  <si>
    <t>ENVIRONMENTAL HEALTH PRACTITIONER (MBOMBELA)</t>
  </si>
  <si>
    <t>ENVIRONMENTAL HEALTH PRACTITIONER (UMJINDI)</t>
  </si>
  <si>
    <t>ENVIRONMENTAL HEALTH PRACTITIONER (THABA CHWEU)</t>
  </si>
  <si>
    <t>ENVIRONMENTAL HEALTH PRACTITIONER (BUSHBUCKRIDGE)</t>
  </si>
  <si>
    <t>TM MOKOENA</t>
  </si>
  <si>
    <t>PP MASHABA</t>
  </si>
  <si>
    <t>ELECTRICITY,WATER &amp; RATES</t>
  </si>
  <si>
    <t>MUNICIPAL HEALTH INTERN (COMMUNITY SERVICE EHP)</t>
  </si>
  <si>
    <t xml:space="preserve"> Budget</t>
  </si>
  <si>
    <t>Approved</t>
  </si>
  <si>
    <t>C SUMAYILLI</t>
  </si>
  <si>
    <t>V MBUYANE</t>
  </si>
  <si>
    <t>COORDINATOR: MPAC</t>
  </si>
  <si>
    <t>SM MAZIBUKO</t>
  </si>
  <si>
    <t>P MASHEGO</t>
  </si>
  <si>
    <t>ECONOMIC SUMMIT</t>
  </si>
  <si>
    <t>GAIN ON DISPOSAL OF PPE</t>
  </si>
  <si>
    <t>TOTAL GAIN ON DISPOSAL OF PPE</t>
  </si>
  <si>
    <t>PROFIT ON SALE OF ASSESTS</t>
  </si>
  <si>
    <t xml:space="preserve"> TOTAL GAIN ON DISPOSAL OF PPE</t>
  </si>
  <si>
    <t>REMUNERATION BUDGET FOR 2017/2018</t>
  </si>
  <si>
    <t>MM MABUZA</t>
  </si>
  <si>
    <t>JY MALAPE</t>
  </si>
  <si>
    <t>SM MASEKO</t>
  </si>
  <si>
    <t>ZE ZULU</t>
  </si>
  <si>
    <t>SMK NKOSI</t>
  </si>
  <si>
    <t>P BAM</t>
  </si>
  <si>
    <t>GN DUBE</t>
  </si>
  <si>
    <t>DJ VAN DER MERWE</t>
  </si>
  <si>
    <t>SC THELA</t>
  </si>
  <si>
    <t>HM HLATSHWAYO</t>
  </si>
  <si>
    <t>DD MAGALE</t>
  </si>
  <si>
    <t>NN NGUBANE</t>
  </si>
  <si>
    <t>LC MABOTE</t>
  </si>
  <si>
    <t>EMM MAHLALELA</t>
  </si>
  <si>
    <t>FS SIBOZA</t>
  </si>
  <si>
    <t>GENERAL MANAGER:STRATEGIC PLANNING</t>
  </si>
  <si>
    <t>MANAGER:MUNICIPAL HEALTH SERVICES</t>
  </si>
  <si>
    <t>3B</t>
  </si>
  <si>
    <t>MANAGER:ENVIRONMENTAL HEALTH SERVICES</t>
  </si>
  <si>
    <t>MANAGER:LABORATORY SERVICES</t>
  </si>
  <si>
    <t>LABORATORY TECHNICIANS</t>
  </si>
  <si>
    <t>DISABILITY COORDINATOR</t>
  </si>
  <si>
    <t>N KHUMALO</t>
  </si>
  <si>
    <t>2019/2020</t>
  </si>
  <si>
    <t>OPERATING BUDGET 2017/2018</t>
  </si>
  <si>
    <t>SUPPLY CHAIN MANAGEMENT</t>
  </si>
  <si>
    <t>TREASURY</t>
  </si>
  <si>
    <t>BUDGET AND REPORTING</t>
  </si>
  <si>
    <t>INTERNS FMG</t>
  </si>
  <si>
    <t xml:space="preserve">IT  </t>
  </si>
  <si>
    <t>ADMINISTRATION</t>
  </si>
  <si>
    <t>C0MMUNICATIONS</t>
  </si>
  <si>
    <t>STRATEGIC PLANNING</t>
  </si>
  <si>
    <t>LEGAL SERVICES</t>
  </si>
  <si>
    <t>IGR</t>
  </si>
  <si>
    <t>PERFORMANCE MANAGEMENT</t>
  </si>
  <si>
    <t>RISK MANAGEMENT</t>
  </si>
  <si>
    <t>HUMAN RESOURCES DEV</t>
  </si>
  <si>
    <t xml:space="preserve">LED </t>
  </si>
  <si>
    <t>TOURISM</t>
  </si>
  <si>
    <t>ENVIRONMENTAL HEALTH SERVICES</t>
  </si>
  <si>
    <t>LABORATORY SERVICES</t>
  </si>
  <si>
    <t>ROADS &amp; TRANSPORT</t>
  </si>
  <si>
    <t>CIVIL SERVICES</t>
  </si>
  <si>
    <t>ADMIN OFFICER: FACILITY MANAGEMENT</t>
  </si>
  <si>
    <t>ASSISTANT RECORDS CLERK</t>
  </si>
  <si>
    <t>J SIDELL</t>
  </si>
  <si>
    <t>CELL F/TIME</t>
  </si>
  <si>
    <t>CELL P/TIME</t>
  </si>
  <si>
    <t>SITTING</t>
  </si>
  <si>
    <t>PART TIME (DIRECTLY-ELECTED)</t>
  </si>
  <si>
    <t>GP MKHOMBO</t>
  </si>
  <si>
    <t>TM CHARLES</t>
  </si>
  <si>
    <t xml:space="preserve">PART TIME </t>
  </si>
  <si>
    <t>PART TIME</t>
  </si>
  <si>
    <t>JJ KHOZA</t>
  </si>
  <si>
    <t>ET MKHABELA</t>
  </si>
  <si>
    <t>LE KHOSA</t>
  </si>
  <si>
    <t>GN MOGIBA</t>
  </si>
  <si>
    <t>HP THOBAKGALE</t>
  </si>
  <si>
    <t>TE MASILELA</t>
  </si>
  <si>
    <t>PART TIME(DIRECTLY -ELECTED)</t>
  </si>
  <si>
    <t>M CHEMBENI-SAHI</t>
  </si>
  <si>
    <t>JH LIGHTHELM</t>
  </si>
  <si>
    <t>MS PHELEPHE</t>
  </si>
  <si>
    <t>DL MASILELA</t>
  </si>
  <si>
    <t>GS MATHEBULA</t>
  </si>
  <si>
    <t>TB SIBUYI</t>
  </si>
  <si>
    <t>G MASHILE</t>
  </si>
  <si>
    <t>R KHUMALO</t>
  </si>
  <si>
    <t>ET MASHILE</t>
  </si>
  <si>
    <t>GP RAPHIRI</t>
  </si>
  <si>
    <t>ML MNISI</t>
  </si>
  <si>
    <t>NP THABANE</t>
  </si>
  <si>
    <t>V MALATJIE</t>
  </si>
  <si>
    <t>KC CHUENE</t>
  </si>
  <si>
    <t>NC KHOZA</t>
  </si>
  <si>
    <t>E MASHELE</t>
  </si>
  <si>
    <t>M MAHLANGU</t>
  </si>
  <si>
    <t>LP MBAMBO</t>
  </si>
  <si>
    <t>ML MKHABELA</t>
  </si>
  <si>
    <t>BC SHONGWE</t>
  </si>
  <si>
    <t>SL MKHATSHWA</t>
  </si>
  <si>
    <t>NM NKOSI</t>
  </si>
  <si>
    <t>SD MOKONE</t>
  </si>
  <si>
    <t>TM MTHOMBO</t>
  </si>
  <si>
    <t>LT VUMA</t>
  </si>
  <si>
    <t>PC LUPHOKO</t>
  </si>
  <si>
    <t>NV MATHOBELA</t>
  </si>
  <si>
    <t>MJ MAVUSO</t>
  </si>
  <si>
    <t>MJ MNISI</t>
  </si>
  <si>
    <t>NC HLOPHE</t>
  </si>
  <si>
    <t>MW NKATHA</t>
  </si>
  <si>
    <t>BK MOKOENA</t>
  </si>
  <si>
    <t>M NKUNA</t>
  </si>
  <si>
    <t>MC MASILELA</t>
  </si>
  <si>
    <t>TR MANYISA</t>
  </si>
  <si>
    <t>EIT SHABANGU</t>
  </si>
  <si>
    <t>MMC - MUNICIPAL HEALTH</t>
  </si>
  <si>
    <t xml:space="preserve"> MMC - LED &amp; TOURISM</t>
  </si>
  <si>
    <t xml:space="preserve"> MMC - DISASTER MANAGEMENT</t>
  </si>
  <si>
    <t xml:space="preserve"> MMC- TECHNICAL SERVICES</t>
  </si>
  <si>
    <t xml:space="preserve"> MMC- CORPORATE SERVICES</t>
  </si>
  <si>
    <t xml:space="preserve"> MMC- SOCIAL SERVICES</t>
  </si>
  <si>
    <t xml:space="preserve"> MMC- FINANCE &amp; SUPPLY CHAIN MANAGEMENT</t>
  </si>
  <si>
    <t>SITTING ALLOWANCES</t>
  </si>
  <si>
    <t>APPROVED BUDGET 2018-19</t>
  </si>
  <si>
    <t>APPOVED BUDGT 2019-20</t>
  </si>
  <si>
    <t>APPROVED BUDGET 2017-18</t>
  </si>
  <si>
    <t>DEVELOPMENT OF ENERGY MASTERPLAN</t>
  </si>
  <si>
    <t>INSTALLATION OF HIGH MAST LIGHTS</t>
  </si>
  <si>
    <t>DRAAIKRAAL AND KIWI WATER SUPPLY REFURBISHMENT</t>
  </si>
  <si>
    <t>AGINCOURT BOOSTER PUMPSTATION</t>
  </si>
  <si>
    <t>CITY OF MBOMBELA LOCAL MUNICIPALITY</t>
  </si>
  <si>
    <t>FEASIBILITY STUDY FOR MALELANE,HECTORSPRUIT &amp; TONGA BULK SEWER SYSTEM</t>
  </si>
  <si>
    <t>REFURBISHMENT AND UPGRADE OF COLTSHILL BULK OUTFALL SEWER IN WHITE RIVER</t>
  </si>
  <si>
    <t>BARBERTON EXT 11 SEWER NETWORKS</t>
  </si>
  <si>
    <t>DISTRICT ITP</t>
  </si>
  <si>
    <t>ROADS MASTERPLAN</t>
  </si>
  <si>
    <t>COLDMIX POTHOLE PATCH</t>
  </si>
  <si>
    <t>COMPUTER EQUIPMENT</t>
  </si>
  <si>
    <t>EDM VEHICLES</t>
  </si>
  <si>
    <t>CONSTRUCTION OF NEW SEWER PACKADGE PLANT SYSTEM - MALELANE EXT 21</t>
  </si>
  <si>
    <t>REFURBISHMENT OF HECTORSRUIT WWTW</t>
  </si>
  <si>
    <t>KABOKWENI BULK WATER SEWERNETWORK</t>
  </si>
  <si>
    <t>DESIGN AND  CONSTRUCTION OF CROWN STREET - BARBERTON</t>
  </si>
  <si>
    <t>LERORO, MATIBIDI ADDITIONAL BOREHOLE AUGMENTATION</t>
  </si>
  <si>
    <t>2017/2018 FINANCIAL YEAR</t>
  </si>
  <si>
    <t>MAINTENANCE AND OPERATIONAL PLAN WWTW &amp; WTW</t>
  </si>
  <si>
    <t>DEVELOPMENT GRANTS (CAPITAL  PROJECTS)  2017/2018</t>
  </si>
  <si>
    <t>EDINBURG WATER RETICULATION</t>
  </si>
  <si>
    <t>REFURBISHMENT OF BOREHOLES</t>
  </si>
  <si>
    <t xml:space="preserve">  FINAL BUDGET 2017-2018</t>
  </si>
  <si>
    <t>FINAL CAPITAL BUDGET 2017/18</t>
  </si>
  <si>
    <t>SENIOR MANAGER: LEGAL SERVICES</t>
  </si>
  <si>
    <t>GENERAL MANAGER: CORPORATE SERVICES</t>
  </si>
  <si>
    <t>SECRETARY: GENERAL MANAGER CORPORATE SERVICES</t>
  </si>
  <si>
    <t>SENIOR INTERNAL AUDITOR</t>
  </si>
  <si>
    <t>MANAGER: INTERNAL AUDIT</t>
  </si>
  <si>
    <t>CHIEF RISK OFFICER:</t>
  </si>
  <si>
    <t>SENIOR MANAGER:OFFICE OF THE EXECUTIVE MAYOR</t>
  </si>
  <si>
    <t>EXECUTIVE SECRETARY: EXECUTIVE MAYOR</t>
  </si>
  <si>
    <t>CO-ORDINATOR: OFFICE OF THE EXECUTIVE MAYOR</t>
  </si>
  <si>
    <t>PROTOCOL OFFICER</t>
  </si>
  <si>
    <t>CHIEF RISK OFFICER</t>
  </si>
  <si>
    <t>SENIOR MANAGER: OFFICE OF THE SPEAKER</t>
  </si>
  <si>
    <t>MANAGER: OFFICE OF THE SPEAKER</t>
  </si>
  <si>
    <t>MANAGER: SERGEANT IN ARMS</t>
  </si>
  <si>
    <t>COUNCIL SECURITY</t>
  </si>
  <si>
    <t>RESEARCH OFFICER</t>
  </si>
  <si>
    <t>MANAGER: OFFICE OF THE CHIEF WHIP</t>
  </si>
  <si>
    <t>MONITORING &amp; EVALUATION CO-ORDINATOR</t>
  </si>
  <si>
    <t>SENIOR MANAGER: MONITORING AND EVALUATION</t>
  </si>
  <si>
    <t>SENIOR MANAGER: PERFOMANCE MANAGEMENT</t>
  </si>
  <si>
    <t>SENIOR MANAGER: STRATEGIC PLANNING</t>
  </si>
  <si>
    <t>SENIOR MANAGER: SPATIAL PLANNING</t>
  </si>
  <si>
    <t>SENIOR MANAGER: GEOGRAPHICAL INFORMATION MANAGEMENT</t>
  </si>
  <si>
    <t>MANAGER: IDP</t>
  </si>
  <si>
    <t>MANAGER:RESEARCH &amp; STRATEGY FORMULTION</t>
  </si>
  <si>
    <t>MANAGER : ORGANISATIONAL PERFORMANCE MANAGEMENT</t>
  </si>
  <si>
    <t>MANAGER: GEOGRAPHICAL INFORMATION MANAGEMENT</t>
  </si>
  <si>
    <t>TOWN PLANNERS</t>
  </si>
  <si>
    <t>SECRETARYTO THE GENERAL MANAGER: STRATEGIC PLANNING</t>
  </si>
  <si>
    <t>ORGANISATIONAL PERFORMANCE CO-ORDINATOR</t>
  </si>
  <si>
    <t>ADMINISTRATION OFFICER : ORGANISATIONAL PERFORMANCE MANAGEMENT</t>
  </si>
  <si>
    <t>SECRETARY:GENERAL MANAGER STRATEGIC PLANNING</t>
  </si>
  <si>
    <t>SPATIAL PLANNING</t>
  </si>
  <si>
    <t>MANAGER: SPATIAL PLANNING</t>
  </si>
  <si>
    <t>ORGANISATIONAL PERFORMANCE MANAGEMENT COORDINATOR</t>
  </si>
  <si>
    <t>MONITORING AND EVALUATION</t>
  </si>
  <si>
    <t>CO-ORDINATOR: M&amp;E</t>
  </si>
  <si>
    <t>GEOGRAPHICAL INFORMATION MANAGEMENT</t>
  </si>
  <si>
    <t>TECHNICIAN: GEOGRAPHICAL INFRMATION MANAGEMENT</t>
  </si>
  <si>
    <t>GENERAL MANAGER: FINANCIAL SERVICES</t>
  </si>
  <si>
    <t>SENIOR MANAGER: TREASURY OFFICE</t>
  </si>
  <si>
    <t>SENIOR MANAGER: SUPPLY CHAIN MANAGEMENT</t>
  </si>
  <si>
    <t>SENIOR MANAGER: IT</t>
  </si>
  <si>
    <t>SENIOR MANAGER: BUDGET AND REPORTING</t>
  </si>
  <si>
    <t>DEPUTY CFO</t>
  </si>
  <si>
    <t>MANAGER: SUPPLY CHAIN MANAGEMENT</t>
  </si>
  <si>
    <t>MANAGER: BUDGET AND REPORTING</t>
  </si>
  <si>
    <t>MANAGER: TREASURY OFFICE</t>
  </si>
  <si>
    <t>SENIOR ACCOUNTANT PAYROLL</t>
  </si>
  <si>
    <t>ACCOUNTANT PAYROLL</t>
  </si>
  <si>
    <t>ACCOUNTANT ASSET MANAGEMENT</t>
  </si>
  <si>
    <t>ACCOUNTANT EXPENDITURE</t>
  </si>
  <si>
    <t>ASSISTANT ACCOUNTANT EXPENDITURE</t>
  </si>
  <si>
    <t>ASSISTANT ACCOUNTANT CONTRACT MANAGEMENT</t>
  </si>
  <si>
    <t>ACCOUNTANT:BUDGET ANALYST &amp; MONITORING</t>
  </si>
  <si>
    <t>IT TECHNICIAN</t>
  </si>
  <si>
    <t>ASSISTANT ACCOUNTANT ASSET MANAGEMENT</t>
  </si>
  <si>
    <t>SECRETARY : GENERAL MANAGER :FINANCIAL SERVICES</t>
  </si>
  <si>
    <t>SECRETARY: GENERAL MANAGER :FINANCIAL SERVICES</t>
  </si>
  <si>
    <t xml:space="preserve">ACCOUNTANT ASSET MANAGEMENT </t>
  </si>
  <si>
    <t>ASSISTANT ACCOUTNANT CONTRACT MANAGEMENT</t>
  </si>
  <si>
    <t>SENIOR MANAGER: HR</t>
  </si>
  <si>
    <t>SENIOR MANAGER: ADMINISTRATION</t>
  </si>
  <si>
    <t>SENIOR MANAGER: COMMUNICATIONS,MARKETING &amp; EVENTS</t>
  </si>
  <si>
    <t>SENIOR MANAGER: LEGAL  SERVICES</t>
  </si>
  <si>
    <t>SENIOR MANAGER :IGR</t>
  </si>
  <si>
    <t>MANAGER: HUMAN RESOURCE DEVELOPMENT</t>
  </si>
  <si>
    <t>MANAGER: COMMUNICATION, MARKETING AND EVENTS</t>
  </si>
  <si>
    <t>MANAGER: ADMINISTRATION</t>
  </si>
  <si>
    <t>SENIOR IGR COORDINATOR</t>
  </si>
  <si>
    <t>IPM CO-ORDINATOR</t>
  </si>
  <si>
    <t>MANAGER: RECORDS</t>
  </si>
  <si>
    <t>SECURITY: EXECUTIVE MAYOR</t>
  </si>
  <si>
    <t>INFORMATION RESOURCE CLERK</t>
  </si>
  <si>
    <t>MANAGER: HUMAN RESOURCE</t>
  </si>
  <si>
    <t>INFORMATION RESOURCE CENTRE</t>
  </si>
  <si>
    <t>MANAGER:ENVIRONMENTAL SERVICES</t>
  </si>
  <si>
    <t xml:space="preserve">MANAGER:MUNICIPAL HEALTH </t>
  </si>
  <si>
    <t>GENERAL MANAGER: MUNICIPAL HEALTH &amp; ENVIRONMENTAL MANAGEMENT</t>
  </si>
  <si>
    <t>SENIOR LAB TECHNICIAN</t>
  </si>
  <si>
    <t>PRINCIAL EO</t>
  </si>
  <si>
    <t>SENIOR MANAGER: MUNICIPAL HEALTH AND ENVIRONMENTAL MANAGEMENT</t>
  </si>
  <si>
    <t xml:space="preserve">MUNICIPAL HEALTH </t>
  </si>
  <si>
    <t>PRINCIPAL EO</t>
  </si>
  <si>
    <t>AIR QUALITY OFFICERS</t>
  </si>
  <si>
    <t>LAW ENFORCEMENT OFFICERS</t>
  </si>
  <si>
    <t>SENIOR MANAGER</t>
  </si>
  <si>
    <t>SECRETARY : GENERAL MANAGER MANAGER SOCIAL SERVICES</t>
  </si>
  <si>
    <t>SENIOR MANAGER: HIV AND TB</t>
  </si>
  <si>
    <t>SENIOR MANAGER: TRANSVERSAL PROGRAMMES</t>
  </si>
  <si>
    <t>MANAGER:TRANSERSAL PROGRAMMES</t>
  </si>
  <si>
    <t>MANAGER: HIV AND TB</t>
  </si>
  <si>
    <t>HIV AND TB OFFICER</t>
  </si>
  <si>
    <t>TRANSVERSAL PROGRAMMES OFFICER</t>
  </si>
  <si>
    <t>SECRETARY :GENERAL MANAGER SOCIAL SERVICES</t>
  </si>
  <si>
    <t>TRANSVERSAL PROGRAMMES</t>
  </si>
  <si>
    <t xml:space="preserve">HIV &amp; TB </t>
  </si>
  <si>
    <t>SENIOR MANAGER: HIV &amp;TB</t>
  </si>
  <si>
    <t>MANAGER: HIV &amp; TB</t>
  </si>
  <si>
    <t>HIV &amp; TB OFFICER</t>
  </si>
  <si>
    <t xml:space="preserve">GENERAL MANAGER: DISASTER MANAGEMENT &amp; SOCIAL SERVICES </t>
  </si>
  <si>
    <t xml:space="preserve">SENIOR MANAGER: DISASTER MANAGEMENT </t>
  </si>
  <si>
    <t>IT &amp; COMMUNICATIONS TECHNICIAN</t>
  </si>
  <si>
    <t>MANAGER: DISASTER MANAGEMENT</t>
  </si>
  <si>
    <t>GENERAL MANAGER: LED,TOURISM AND RURAL DEVELOPMENT</t>
  </si>
  <si>
    <t>SECRETARY: GENERAL MANAGER LED,TOURISM AND RURAL DEVELOPMENT</t>
  </si>
  <si>
    <t>SENIOR MANAGER: LED AND TOURISM</t>
  </si>
  <si>
    <t>MANAGER: LED</t>
  </si>
  <si>
    <t>MANAGER: RURAL DEVELOPMENT</t>
  </si>
  <si>
    <t>MANAGER: TOURISM</t>
  </si>
  <si>
    <t>SENIOR MANAGER:RURAL DEVELOPMENT</t>
  </si>
  <si>
    <t>SECRETARY:GENERAL MANAGER LED,TOURISM AND RURAL DEVELOPMENT</t>
  </si>
  <si>
    <t>GENERAL MANAGER: TECHNICAL SERVICES</t>
  </si>
  <si>
    <t>SECRETARY: GENERAL MANAGER TECHNICAL</t>
  </si>
  <si>
    <t>SENIOR MANAGER: WATER AND SANITATION</t>
  </si>
  <si>
    <t>SENIOR MANAGER: CIVIL SERVICES</t>
  </si>
  <si>
    <t>SENIOR MANAGER: ROADS AND TRANSPORT</t>
  </si>
  <si>
    <t>SENIOR MANAGER: BULK PLANNING AND IMPLEMENTATION</t>
  </si>
  <si>
    <t xml:space="preserve">CHIEF TECHNICIAN:WATER AND SANITATION </t>
  </si>
  <si>
    <t>CHIEF TECHNICIAN: BULK SERVICES PLANNING AND IMPLEMENTATION</t>
  </si>
  <si>
    <t>TECHNICIAN: RRAMS</t>
  </si>
  <si>
    <t>PROJECTS CONTRACTS ADMINISTRATION OFFICER</t>
  </si>
  <si>
    <t>CHIEF TECHNICIAN:WATER AND SANITATION</t>
  </si>
  <si>
    <t>BULK PLANNING AND IMPLEMENTATION</t>
  </si>
  <si>
    <t>SECTOR PLANS - LED</t>
  </si>
  <si>
    <t>BULK WATER MASHISHING EXT 2,6</t>
  </si>
  <si>
    <t>GENERATOR - 500KVA</t>
  </si>
  <si>
    <t>AS PER COUNCIL RESOLUTION: A44/2017</t>
  </si>
  <si>
    <t>K PULE</t>
  </si>
  <si>
    <t>Appoved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</si>
</sst>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R-1C09]\ #,##0"/>
  </numFmts>
  <fonts count="6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2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8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0" tint="-0.34998626667073579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sz val="8"/>
      <color theme="3"/>
      <name val="Arial"/>
      <family val="2"/>
    </font>
    <font>
      <sz val="8"/>
      <color theme="3" tint="0.39997558519241921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10"/>
      <name val="Arial"/>
    </font>
    <font>
      <b/>
      <sz val="16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3"/>
      <name val="Arial"/>
      <family val="2"/>
    </font>
    <font>
      <sz val="10"/>
      <color theme="3" tint="0.3999755851924192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167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2">
    <xf numFmtId="167" fontId="0" fillId="0" borderId="0" xfId="0"/>
    <xf numFmtId="167" fontId="0" fillId="0" borderId="0" xfId="0" applyFill="1"/>
    <xf numFmtId="166" fontId="0" fillId="0" borderId="0" xfId="1" applyNumberFormat="1" applyFont="1" applyFill="1"/>
    <xf numFmtId="167" fontId="0" fillId="0" borderId="0" xfId="0" applyFill="1" applyBorder="1"/>
    <xf numFmtId="167" fontId="0" fillId="2" borderId="0" xfId="0" applyFill="1"/>
    <xf numFmtId="167" fontId="1" fillId="0" borderId="0" xfId="0" applyFont="1" applyFill="1"/>
    <xf numFmtId="15" fontId="0" fillId="0" borderId="0" xfId="0" applyNumberFormat="1" applyFill="1"/>
    <xf numFmtId="20" fontId="0" fillId="0" borderId="0" xfId="0" applyNumberFormat="1" applyFill="1"/>
    <xf numFmtId="10" fontId="0" fillId="0" borderId="0" xfId="2" applyNumberFormat="1" applyFont="1" applyFill="1"/>
    <xf numFmtId="167" fontId="0" fillId="0" borderId="0" xfId="0" applyFill="1" applyAlignment="1">
      <alignment horizontal="center"/>
    </xf>
    <xf numFmtId="166" fontId="5" fillId="0" borderId="1" xfId="1" applyNumberFormat="1" applyFont="1" applyFill="1" applyBorder="1"/>
    <xf numFmtId="166" fontId="5" fillId="0" borderId="0" xfId="1" applyNumberFormat="1" applyFont="1" applyFill="1" applyBorder="1"/>
    <xf numFmtId="166" fontId="0" fillId="0" borderId="0" xfId="0" applyNumberFormat="1" applyFill="1"/>
    <xf numFmtId="166" fontId="0" fillId="0" borderId="14" xfId="1" applyNumberFormat="1" applyFont="1" applyFill="1" applyBorder="1"/>
    <xf numFmtId="167" fontId="8" fillId="0" borderId="0" xfId="0" applyFont="1" applyFill="1"/>
    <xf numFmtId="167" fontId="9" fillId="0" borderId="0" xfId="0" applyFont="1" applyFill="1"/>
    <xf numFmtId="167" fontId="6" fillId="0" borderId="0" xfId="0" applyFont="1" applyFill="1"/>
    <xf numFmtId="167" fontId="13" fillId="0" borderId="0" xfId="0" applyFont="1" applyFill="1"/>
    <xf numFmtId="167" fontId="0" fillId="0" borderId="0" xfId="0" applyFont="1" applyFill="1"/>
    <xf numFmtId="166" fontId="0" fillId="0" borderId="0" xfId="1" applyNumberFormat="1" applyFont="1" applyFill="1" applyBorder="1"/>
    <xf numFmtId="166" fontId="1" fillId="0" borderId="0" xfId="1" applyNumberFormat="1" applyFont="1" applyFill="1"/>
    <xf numFmtId="167" fontId="1" fillId="0" borderId="0" xfId="0" applyFont="1" applyFill="1" applyBorder="1"/>
    <xf numFmtId="167" fontId="10" fillId="0" borderId="0" xfId="0" applyFont="1" applyFill="1"/>
    <xf numFmtId="166" fontId="18" fillId="0" borderId="0" xfId="1" applyNumberFormat="1" applyFont="1" applyFill="1" applyBorder="1" applyAlignment="1">
      <alignment horizontal="center" vertical="center"/>
    </xf>
    <xf numFmtId="166" fontId="18" fillId="0" borderId="0" xfId="1" applyNumberFormat="1" applyFont="1" applyFill="1" applyAlignment="1">
      <alignment horizontal="center" vertical="center"/>
    </xf>
    <xf numFmtId="167" fontId="10" fillId="0" borderId="0" xfId="0" applyFont="1" applyFill="1" applyBorder="1" applyAlignment="1">
      <alignment horizontal="center"/>
    </xf>
    <xf numFmtId="167" fontId="10" fillId="0" borderId="0" xfId="0" applyFont="1" applyFill="1" applyBorder="1"/>
    <xf numFmtId="167" fontId="10" fillId="0" borderId="0" xfId="0" applyFont="1" applyFill="1" applyAlignment="1">
      <alignment horizontal="center" vertical="center"/>
    </xf>
    <xf numFmtId="167" fontId="16" fillId="0" borderId="0" xfId="0" applyFont="1" applyFill="1" applyBorder="1"/>
    <xf numFmtId="166" fontId="4" fillId="0" borderId="0" xfId="1" applyNumberFormat="1" applyFont="1" applyFill="1" applyBorder="1"/>
    <xf numFmtId="166" fontId="10" fillId="0" borderId="0" xfId="1" applyNumberFormat="1" applyFont="1" applyFill="1"/>
    <xf numFmtId="166" fontId="4" fillId="0" borderId="0" xfId="1" applyNumberFormat="1" applyFont="1" applyFill="1"/>
    <xf numFmtId="166" fontId="10" fillId="0" borderId="0" xfId="1" applyNumberFormat="1" applyFont="1" applyFill="1" applyBorder="1"/>
    <xf numFmtId="167" fontId="10" fillId="0" borderId="0" xfId="0" applyFont="1" applyFill="1" applyBorder="1" applyAlignment="1">
      <alignment horizontal="center" vertical="center"/>
    </xf>
    <xf numFmtId="167" fontId="0" fillId="0" borderId="0" xfId="0" applyFill="1" applyBorder="1" applyAlignment="1">
      <alignment horizontal="center" vertical="center"/>
    </xf>
    <xf numFmtId="167" fontId="19" fillId="0" borderId="4" xfId="0" applyFont="1" applyFill="1" applyBorder="1"/>
    <xf numFmtId="167" fontId="10" fillId="0" borderId="2" xfId="0" applyFont="1" applyFill="1" applyBorder="1" applyAlignment="1">
      <alignment horizontal="center"/>
    </xf>
    <xf numFmtId="166" fontId="10" fillId="0" borderId="4" xfId="1" applyNumberFormat="1" applyFont="1" applyFill="1" applyBorder="1"/>
    <xf numFmtId="167" fontId="5" fillId="0" borderId="2" xfId="0" applyFont="1" applyFill="1" applyBorder="1"/>
    <xf numFmtId="166" fontId="10" fillId="0" borderId="2" xfId="1" applyNumberFormat="1" applyFont="1" applyFill="1" applyBorder="1"/>
    <xf numFmtId="166" fontId="10" fillId="0" borderId="2" xfId="1" applyNumberFormat="1" applyFont="1" applyFill="1" applyBorder="1" applyProtection="1">
      <protection locked="0"/>
    </xf>
    <xf numFmtId="167" fontId="10" fillId="0" borderId="2" xfId="0" applyFont="1" applyFill="1" applyBorder="1"/>
    <xf numFmtId="167" fontId="10" fillId="0" borderId="0" xfId="0" applyFont="1" applyFill="1" applyAlignment="1">
      <alignment horizontal="center"/>
    </xf>
    <xf numFmtId="167" fontId="19" fillId="0" borderId="2" xfId="0" applyFont="1" applyFill="1" applyBorder="1"/>
    <xf numFmtId="167" fontId="15" fillId="0" borderId="0" xfId="0" applyFont="1" applyFill="1" applyBorder="1"/>
    <xf numFmtId="166" fontId="5" fillId="0" borderId="2" xfId="1" applyNumberFormat="1" applyFont="1" applyFill="1" applyBorder="1"/>
    <xf numFmtId="167" fontId="11" fillId="0" borderId="2" xfId="0" applyFont="1" applyFill="1" applyBorder="1"/>
    <xf numFmtId="167" fontId="3" fillId="0" borderId="2" xfId="0" applyFont="1" applyFill="1" applyBorder="1"/>
    <xf numFmtId="167" fontId="10" fillId="0" borderId="4" xfId="0" applyFont="1" applyFill="1" applyBorder="1" applyAlignment="1">
      <alignment horizontal="center"/>
    </xf>
    <xf numFmtId="167" fontId="11" fillId="0" borderId="2" xfId="0" applyFont="1" applyFill="1" applyBorder="1" applyAlignment="1">
      <alignment wrapText="1"/>
    </xf>
    <xf numFmtId="166" fontId="3" fillId="0" borderId="0" xfId="1" applyNumberFormat="1" applyFont="1" applyFill="1"/>
    <xf numFmtId="167" fontId="10" fillId="0" borderId="11" xfId="0" applyFont="1" applyFill="1" applyBorder="1" applyAlignment="1">
      <alignment horizontal="center"/>
    </xf>
    <xf numFmtId="167" fontId="5" fillId="0" borderId="13" xfId="0" applyFont="1" applyFill="1" applyBorder="1" applyAlignment="1">
      <alignment horizontal="center" vertical="center" wrapText="1"/>
    </xf>
    <xf numFmtId="167" fontId="10" fillId="0" borderId="15" xfId="0" applyFont="1" applyFill="1" applyBorder="1" applyAlignment="1">
      <alignment horizontal="center"/>
    </xf>
    <xf numFmtId="166" fontId="10" fillId="0" borderId="15" xfId="1" applyNumberFormat="1" applyFont="1" applyFill="1" applyBorder="1"/>
    <xf numFmtId="167" fontId="3" fillId="0" borderId="9" xfId="0" applyFont="1" applyFill="1" applyBorder="1"/>
    <xf numFmtId="167" fontId="19" fillId="0" borderId="9" xfId="0" applyFont="1" applyFill="1" applyBorder="1"/>
    <xf numFmtId="167" fontId="10" fillId="0" borderId="16" xfId="0" applyFont="1" applyFill="1" applyBorder="1" applyAlignment="1">
      <alignment horizontal="center"/>
    </xf>
    <xf numFmtId="167" fontId="1" fillId="0" borderId="8" xfId="0" applyFont="1" applyFill="1" applyBorder="1"/>
    <xf numFmtId="166" fontId="10" fillId="0" borderId="7" xfId="1" applyNumberFormat="1" applyFont="1" applyFill="1" applyBorder="1"/>
    <xf numFmtId="166" fontId="12" fillId="0" borderId="6" xfId="1" applyNumberFormat="1" applyFont="1" applyFill="1" applyBorder="1" applyAlignment="1">
      <alignment horizontal="center" vertical="center" wrapText="1"/>
    </xf>
    <xf numFmtId="167" fontId="5" fillId="0" borderId="4" xfId="0" applyFont="1" applyFill="1" applyBorder="1"/>
    <xf numFmtId="167" fontId="10" fillId="0" borderId="3" xfId="0" applyFont="1" applyFill="1" applyBorder="1" applyAlignment="1">
      <alignment horizontal="center"/>
    </xf>
    <xf numFmtId="166" fontId="21" fillId="0" borderId="0" xfId="1" applyNumberFormat="1" applyFont="1" applyFill="1"/>
    <xf numFmtId="166" fontId="20" fillId="0" borderId="0" xfId="1" applyNumberFormat="1" applyFont="1" applyFill="1" applyAlignment="1">
      <alignment horizontal="center" vertical="center"/>
    </xf>
    <xf numFmtId="166" fontId="5" fillId="0" borderId="5" xfId="1" applyNumberFormat="1" applyFont="1" applyFill="1" applyBorder="1"/>
    <xf numFmtId="166" fontId="10" fillId="3" borderId="0" xfId="1" applyNumberFormat="1" applyFont="1" applyFill="1" applyBorder="1"/>
    <xf numFmtId="167" fontId="10" fillId="0" borderId="9" xfId="0" applyFont="1" applyFill="1" applyBorder="1" applyAlignment="1">
      <alignment horizontal="center"/>
    </xf>
    <xf numFmtId="167" fontId="3" fillId="0" borderId="3" xfId="0" applyFont="1" applyFill="1" applyBorder="1"/>
    <xf numFmtId="167" fontId="3" fillId="0" borderId="4" xfId="0" applyFont="1" applyFill="1" applyBorder="1"/>
    <xf numFmtId="167" fontId="3" fillId="0" borderId="10" xfId="0" applyFont="1" applyFill="1" applyBorder="1"/>
    <xf numFmtId="167" fontId="10" fillId="0" borderId="10" xfId="0" applyFont="1" applyFill="1" applyBorder="1" applyAlignment="1">
      <alignment horizontal="center"/>
    </xf>
    <xf numFmtId="167" fontId="9" fillId="0" borderId="10" xfId="0" applyFont="1" applyFill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center" vertical="center"/>
    </xf>
    <xf numFmtId="167" fontId="9" fillId="0" borderId="3" xfId="0" applyFont="1" applyFill="1" applyBorder="1" applyAlignment="1">
      <alignment horizontal="center" vertical="center"/>
    </xf>
    <xf numFmtId="167" fontId="7" fillId="0" borderId="0" xfId="0" applyFont="1" applyFill="1" applyBorder="1"/>
    <xf numFmtId="167" fontId="10" fillId="0" borderId="4" xfId="0" applyFont="1" applyFill="1" applyBorder="1" applyAlignment="1">
      <alignment horizontal="left"/>
    </xf>
    <xf numFmtId="167" fontId="10" fillId="0" borderId="2" xfId="0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left"/>
    </xf>
    <xf numFmtId="166" fontId="10" fillId="0" borderId="2" xfId="0" applyNumberFormat="1" applyFont="1" applyFill="1" applyBorder="1" applyAlignment="1">
      <alignment horizontal="left"/>
    </xf>
    <xf numFmtId="166" fontId="3" fillId="0" borderId="5" xfId="0" applyNumberFormat="1" applyFont="1" applyFill="1" applyBorder="1" applyAlignment="1">
      <alignment horizontal="left" vertical="center"/>
    </xf>
    <xf numFmtId="167" fontId="10" fillId="0" borderId="15" xfId="0" applyFont="1" applyFill="1" applyBorder="1" applyAlignment="1">
      <alignment horizontal="left"/>
    </xf>
    <xf numFmtId="167" fontId="10" fillId="0" borderId="0" xfId="0" applyFont="1" applyFill="1" applyBorder="1" applyAlignment="1">
      <alignment horizontal="left"/>
    </xf>
    <xf numFmtId="167" fontId="10" fillId="0" borderId="5" xfId="0" applyFont="1" applyFill="1" applyBorder="1" applyAlignment="1">
      <alignment horizontal="center"/>
    </xf>
    <xf numFmtId="167" fontId="10" fillId="2" borderId="0" xfId="0" applyFont="1" applyFill="1" applyBorder="1" applyAlignment="1">
      <alignment horizontal="center"/>
    </xf>
    <xf numFmtId="166" fontId="10" fillId="2" borderId="2" xfId="1" applyNumberFormat="1" applyFont="1" applyFill="1" applyBorder="1" applyProtection="1">
      <protection locked="0"/>
    </xf>
    <xf numFmtId="166" fontId="10" fillId="2" borderId="2" xfId="1" applyNumberFormat="1" applyFont="1" applyFill="1" applyBorder="1"/>
    <xf numFmtId="167" fontId="10" fillId="2" borderId="0" xfId="0" applyFont="1" applyFill="1" applyBorder="1"/>
    <xf numFmtId="167" fontId="0" fillId="2" borderId="0" xfId="0" applyFill="1" applyBorder="1"/>
    <xf numFmtId="167" fontId="10" fillId="2" borderId="2" xfId="0" applyFont="1" applyFill="1" applyBorder="1" applyAlignment="1">
      <alignment horizontal="center"/>
    </xf>
    <xf numFmtId="166" fontId="12" fillId="0" borderId="5" xfId="1" applyNumberFormat="1" applyFont="1" applyFill="1" applyBorder="1" applyAlignment="1">
      <alignment horizontal="center" vertical="center" wrapText="1"/>
    </xf>
    <xf numFmtId="167" fontId="7" fillId="0" borderId="0" xfId="0" applyFont="1" applyFill="1" applyBorder="1" applyAlignment="1"/>
    <xf numFmtId="167" fontId="8" fillId="0" borderId="0" xfId="0" applyFont="1" applyFill="1" applyAlignment="1">
      <alignment horizontal="center" vertical="center"/>
    </xf>
    <xf numFmtId="167" fontId="14" fillId="0" borderId="0" xfId="0" applyFont="1" applyFill="1" applyAlignment="1">
      <alignment horizontal="center" vertical="center"/>
    </xf>
    <xf numFmtId="167" fontId="0" fillId="0" borderId="9" xfId="0" applyFill="1" applyBorder="1"/>
    <xf numFmtId="167" fontId="1" fillId="0" borderId="2" xfId="0" applyFont="1" applyFill="1" applyBorder="1"/>
    <xf numFmtId="167" fontId="1" fillId="2" borderId="2" xfId="0" applyFont="1" applyFill="1" applyBorder="1"/>
    <xf numFmtId="167" fontId="1" fillId="2" borderId="2" xfId="0" applyFont="1" applyFill="1" applyBorder="1" applyAlignment="1">
      <alignment horizontal="left"/>
    </xf>
    <xf numFmtId="167" fontId="1" fillId="0" borderId="2" xfId="0" applyFont="1" applyFill="1" applyBorder="1" applyAlignment="1">
      <alignment horizontal="left"/>
    </xf>
    <xf numFmtId="167" fontId="22" fillId="0" borderId="0" xfId="0" applyFont="1" applyFill="1" applyBorder="1" applyAlignment="1">
      <alignment horizontal="center" vertical="center"/>
    </xf>
    <xf numFmtId="167" fontId="22" fillId="2" borderId="0" xfId="0" applyFont="1" applyFill="1" applyBorder="1" applyAlignment="1">
      <alignment horizontal="center"/>
    </xf>
    <xf numFmtId="166" fontId="22" fillId="2" borderId="2" xfId="1" applyNumberFormat="1" applyFont="1" applyFill="1" applyBorder="1"/>
    <xf numFmtId="166" fontId="22" fillId="2" borderId="2" xfId="1" applyNumberFormat="1" applyFont="1" applyFill="1" applyBorder="1" applyProtection="1">
      <protection locked="0"/>
    </xf>
    <xf numFmtId="167" fontId="22" fillId="2" borderId="0" xfId="0" applyFont="1" applyFill="1" applyBorder="1"/>
    <xf numFmtId="167" fontId="22" fillId="2" borderId="9" xfId="0" applyFont="1" applyFill="1" applyBorder="1" applyAlignment="1">
      <alignment horizontal="center"/>
    </xf>
    <xf numFmtId="166" fontId="1" fillId="2" borderId="2" xfId="1" applyNumberFormat="1" applyFont="1" applyFill="1" applyBorder="1"/>
    <xf numFmtId="166" fontId="1" fillId="2" borderId="2" xfId="1" applyNumberFormat="1" applyFont="1" applyFill="1" applyBorder="1" applyProtection="1">
      <protection locked="0"/>
    </xf>
    <xf numFmtId="166" fontId="10" fillId="7" borderId="2" xfId="1" applyNumberFormat="1" applyFont="1" applyFill="1" applyBorder="1"/>
    <xf numFmtId="167" fontId="10" fillId="7" borderId="2" xfId="0" applyFont="1" applyFill="1" applyBorder="1" applyAlignment="1">
      <alignment horizontal="center"/>
    </xf>
    <xf numFmtId="167" fontId="10" fillId="7" borderId="0" xfId="0" applyFont="1" applyFill="1" applyBorder="1" applyAlignment="1">
      <alignment horizontal="center"/>
    </xf>
    <xf numFmtId="166" fontId="23" fillId="0" borderId="2" xfId="1" applyNumberFormat="1" applyFont="1" applyFill="1" applyBorder="1"/>
    <xf numFmtId="167" fontId="22" fillId="0" borderId="0" xfId="0" applyFont="1" applyFill="1"/>
    <xf numFmtId="166" fontId="22" fillId="0" borderId="0" xfId="1" applyNumberFormat="1" applyFont="1" applyFill="1"/>
    <xf numFmtId="167" fontId="1" fillId="7" borderId="2" xfId="0" applyFont="1" applyFill="1" applyBorder="1"/>
    <xf numFmtId="166" fontId="22" fillId="0" borderId="2" xfId="1" applyNumberFormat="1" applyFont="1" applyFill="1" applyBorder="1"/>
    <xf numFmtId="167" fontId="1" fillId="0" borderId="0" xfId="0" applyFont="1" applyFill="1" applyAlignment="1">
      <alignment horizontal="right"/>
    </xf>
    <xf numFmtId="167" fontId="24" fillId="0" borderId="0" xfId="0" applyFont="1" applyFill="1" applyBorder="1" applyAlignment="1">
      <alignment horizontal="center"/>
    </xf>
    <xf numFmtId="167" fontId="10" fillId="6" borderId="0" xfId="0" applyFont="1" applyFill="1" applyBorder="1" applyAlignment="1">
      <alignment horizontal="center" vertical="center"/>
    </xf>
    <xf numFmtId="167" fontId="1" fillId="6" borderId="2" xfId="0" applyFont="1" applyFill="1" applyBorder="1"/>
    <xf numFmtId="167" fontId="10" fillId="6" borderId="9" xfId="0" applyFont="1" applyFill="1" applyBorder="1" applyAlignment="1">
      <alignment horizontal="center"/>
    </xf>
    <xf numFmtId="166" fontId="10" fillId="6" borderId="2" xfId="1" applyNumberFormat="1" applyFont="1" applyFill="1" applyBorder="1"/>
    <xf numFmtId="166" fontId="10" fillId="6" borderId="2" xfId="1" applyNumberFormat="1" applyFont="1" applyFill="1" applyBorder="1" applyProtection="1">
      <protection locked="0"/>
    </xf>
    <xf numFmtId="167" fontId="1" fillId="6" borderId="2" xfId="0" applyFont="1" applyFill="1" applyBorder="1" applyAlignment="1">
      <alignment horizontal="left"/>
    </xf>
    <xf numFmtId="167" fontId="10" fillId="6" borderId="0" xfId="0" applyFont="1" applyFill="1" applyBorder="1"/>
    <xf numFmtId="167" fontId="0" fillId="6" borderId="0" xfId="0" applyFill="1" applyBorder="1"/>
    <xf numFmtId="166" fontId="1" fillId="0" borderId="2" xfId="1" applyNumberFormat="1" applyFont="1" applyFill="1" applyBorder="1"/>
    <xf numFmtId="166" fontId="12" fillId="9" borderId="5" xfId="1" applyNumberFormat="1" applyFont="1" applyFill="1" applyBorder="1" applyAlignment="1">
      <alignment horizontal="center" vertical="center" wrapText="1"/>
    </xf>
    <xf numFmtId="166" fontId="10" fillId="9" borderId="15" xfId="1" applyNumberFormat="1" applyFont="1" applyFill="1" applyBorder="1"/>
    <xf numFmtId="166" fontId="10" fillId="9" borderId="4" xfId="1" applyNumberFormat="1" applyFont="1" applyFill="1" applyBorder="1"/>
    <xf numFmtId="166" fontId="10" fillId="9" borderId="2" xfId="1" applyNumberFormat="1" applyFont="1" applyFill="1" applyBorder="1"/>
    <xf numFmtId="166" fontId="1" fillId="9" borderId="2" xfId="1" applyNumberFormat="1" applyFont="1" applyFill="1" applyBorder="1"/>
    <xf numFmtId="166" fontId="5" fillId="9" borderId="5" xfId="1" applyNumberFormat="1" applyFont="1" applyFill="1" applyBorder="1"/>
    <xf numFmtId="166" fontId="5" fillId="9" borderId="2" xfId="1" applyNumberFormat="1" applyFont="1" applyFill="1" applyBorder="1"/>
    <xf numFmtId="167" fontId="26" fillId="0" borderId="0" xfId="0" applyFont="1" applyFill="1"/>
    <xf numFmtId="167" fontId="27" fillId="0" borderId="0" xfId="0" applyFont="1" applyFill="1"/>
    <xf numFmtId="167" fontId="28" fillId="0" borderId="0" xfId="0" applyFont="1" applyFill="1"/>
    <xf numFmtId="166" fontId="27" fillId="0" borderId="0" xfId="1" applyNumberFormat="1" applyFont="1" applyFill="1"/>
    <xf numFmtId="167" fontId="27" fillId="0" borderId="0" xfId="0" applyFont="1"/>
    <xf numFmtId="15" fontId="27" fillId="0" borderId="0" xfId="0" applyNumberFormat="1" applyFont="1" applyFill="1"/>
    <xf numFmtId="20" fontId="27" fillId="0" borderId="0" xfId="0" applyNumberFormat="1" applyFont="1" applyFill="1"/>
    <xf numFmtId="10" fontId="27" fillId="0" borderId="0" xfId="2" applyNumberFormat="1" applyFont="1" applyFill="1"/>
    <xf numFmtId="167" fontId="27" fillId="0" borderId="0" xfId="0" applyFont="1" applyFill="1" applyAlignment="1">
      <alignment horizontal="center"/>
    </xf>
    <xf numFmtId="167" fontId="27" fillId="0" borderId="0" xfId="0" applyFont="1" applyFill="1" applyBorder="1"/>
    <xf numFmtId="166" fontId="27" fillId="0" borderId="0" xfId="1" applyNumberFormat="1" applyFont="1"/>
    <xf numFmtId="166" fontId="27" fillId="0" borderId="0" xfId="1" applyNumberFormat="1" applyFont="1" applyFill="1" applyBorder="1"/>
    <xf numFmtId="167" fontId="29" fillId="0" borderId="0" xfId="0" applyFont="1" applyFill="1"/>
    <xf numFmtId="166" fontId="29" fillId="0" borderId="0" xfId="1" applyNumberFormat="1" applyFont="1" applyFill="1"/>
    <xf numFmtId="166" fontId="29" fillId="0" borderId="0" xfId="1" applyNumberFormat="1" applyFont="1"/>
    <xf numFmtId="167" fontId="29" fillId="0" borderId="0" xfId="0" applyFont="1"/>
    <xf numFmtId="166" fontId="26" fillId="0" borderId="1" xfId="1" applyNumberFormat="1" applyFont="1" applyFill="1" applyBorder="1"/>
    <xf numFmtId="167" fontId="29" fillId="0" borderId="0" xfId="0" applyFont="1" applyFill="1" applyAlignment="1">
      <alignment horizontal="right"/>
    </xf>
    <xf numFmtId="167" fontId="29" fillId="0" borderId="0" xfId="0" applyFont="1" applyFill="1" applyAlignment="1">
      <alignment horizontal="center"/>
    </xf>
    <xf numFmtId="166" fontId="26" fillId="0" borderId="0" xfId="1" applyNumberFormat="1" applyFont="1" applyFill="1" applyBorder="1"/>
    <xf numFmtId="167" fontId="27" fillId="6" borderId="0" xfId="0" applyFont="1" applyFill="1"/>
    <xf numFmtId="167" fontId="29" fillId="6" borderId="0" xfId="0" applyFont="1" applyFill="1"/>
    <xf numFmtId="167" fontId="27" fillId="0" borderId="0" xfId="0" applyFont="1" applyFill="1" applyAlignment="1">
      <alignment horizontal="left"/>
    </xf>
    <xf numFmtId="167" fontId="29" fillId="0" borderId="0" xfId="0" applyFont="1" applyFill="1" applyAlignment="1">
      <alignment horizontal="left"/>
    </xf>
    <xf numFmtId="167" fontId="26" fillId="0" borderId="0" xfId="0" applyFont="1" applyFill="1" applyAlignment="1">
      <alignment horizontal="left"/>
    </xf>
    <xf numFmtId="166" fontId="26" fillId="0" borderId="0" xfId="1" applyNumberFormat="1" applyFont="1" applyFill="1"/>
    <xf numFmtId="166" fontId="26" fillId="0" borderId="0" xfId="1" applyNumberFormat="1" applyFont="1"/>
    <xf numFmtId="167" fontId="26" fillId="0" borderId="0" xfId="0" applyFont="1"/>
    <xf numFmtId="167" fontId="27" fillId="0" borderId="0" xfId="0" quotePrefix="1" applyFont="1" applyFill="1"/>
    <xf numFmtId="167" fontId="27" fillId="0" borderId="0" xfId="0" quotePrefix="1" applyFont="1" applyFill="1" applyAlignment="1">
      <alignment horizontal="left"/>
    </xf>
    <xf numFmtId="166" fontId="30" fillId="0" borderId="0" xfId="1" applyNumberFormat="1" applyFont="1" applyFill="1"/>
    <xf numFmtId="166" fontId="27" fillId="3" borderId="0" xfId="1" applyNumberFormat="1" applyFont="1" applyFill="1"/>
    <xf numFmtId="167" fontId="29" fillId="0" borderId="0" xfId="0" quotePrefix="1" applyFont="1" applyFill="1"/>
    <xf numFmtId="167" fontId="26" fillId="6" borderId="0" xfId="0" applyFont="1" applyFill="1"/>
    <xf numFmtId="167" fontId="27" fillId="0" borderId="0" xfId="0" applyFont="1" applyFill="1" applyAlignment="1">
      <alignment horizontal="right"/>
    </xf>
    <xf numFmtId="166" fontId="29" fillId="3" borderId="0" xfId="1" applyNumberFormat="1" applyFont="1" applyFill="1"/>
    <xf numFmtId="167" fontId="31" fillId="0" borderId="0" xfId="0" applyFont="1" applyFill="1"/>
    <xf numFmtId="167" fontId="31" fillId="0" borderId="0" xfId="0" quotePrefix="1" applyFont="1" applyFill="1"/>
    <xf numFmtId="166" fontId="31" fillId="0" borderId="0" xfId="1" applyNumberFormat="1" applyFont="1" applyFill="1"/>
    <xf numFmtId="166" fontId="31" fillId="0" borderId="0" xfId="1" applyNumberFormat="1" applyFont="1"/>
    <xf numFmtId="167" fontId="32" fillId="0" borderId="0" xfId="0" applyFont="1" applyFill="1"/>
    <xf numFmtId="167" fontId="33" fillId="0" borderId="0" xfId="0" applyFont="1" applyFill="1"/>
    <xf numFmtId="166" fontId="33" fillId="0" borderId="0" xfId="1" applyNumberFormat="1" applyFont="1" applyFill="1"/>
    <xf numFmtId="166" fontId="33" fillId="0" borderId="0" xfId="1" applyNumberFormat="1" applyFont="1"/>
    <xf numFmtId="166" fontId="27" fillId="6" borderId="0" xfId="1" applyNumberFormat="1" applyFont="1" applyFill="1"/>
    <xf numFmtId="166" fontId="33" fillId="6" borderId="0" xfId="1" applyNumberFormat="1" applyFont="1" applyFill="1"/>
    <xf numFmtId="167" fontId="34" fillId="0" borderId="0" xfId="0" applyFont="1" applyFill="1"/>
    <xf numFmtId="166" fontId="26" fillId="0" borderId="0" xfId="0" applyNumberFormat="1" applyFont="1" applyFill="1"/>
    <xf numFmtId="166" fontId="27" fillId="0" borderId="14" xfId="1" applyNumberFormat="1" applyFont="1" applyFill="1" applyBorder="1"/>
    <xf numFmtId="166" fontId="27" fillId="0" borderId="0" xfId="0" applyNumberFormat="1" applyFont="1" applyFill="1"/>
    <xf numFmtId="167" fontId="35" fillId="0" borderId="0" xfId="0" applyFont="1" applyFill="1"/>
    <xf numFmtId="167" fontId="36" fillId="0" borderId="0" xfId="0" applyFont="1" applyFill="1"/>
    <xf numFmtId="166" fontId="36" fillId="0" borderId="0" xfId="1" applyNumberFormat="1" applyFont="1" applyFill="1"/>
    <xf numFmtId="167" fontId="36" fillId="0" borderId="0" xfId="0" applyFont="1"/>
    <xf numFmtId="167" fontId="37" fillId="0" borderId="0" xfId="0" applyFont="1" applyFill="1"/>
    <xf numFmtId="167" fontId="38" fillId="0" borderId="0" xfId="0" applyFont="1" applyFill="1"/>
    <xf numFmtId="15" fontId="36" fillId="0" borderId="0" xfId="0" applyNumberFormat="1" applyFont="1" applyFill="1"/>
    <xf numFmtId="20" fontId="36" fillId="0" borderId="0" xfId="0" applyNumberFormat="1" applyFont="1" applyFill="1"/>
    <xf numFmtId="10" fontId="36" fillId="0" borderId="0" xfId="2" applyNumberFormat="1" applyFont="1" applyFill="1"/>
    <xf numFmtId="167" fontId="39" fillId="0" borderId="0" xfId="0" applyFont="1" applyFill="1"/>
    <xf numFmtId="167" fontId="36" fillId="0" borderId="0" xfId="0" applyFont="1" applyFill="1" applyAlignment="1">
      <alignment horizontal="center"/>
    </xf>
    <xf numFmtId="166" fontId="40" fillId="0" borderId="0" xfId="1" applyNumberFormat="1" applyFont="1" applyFill="1"/>
    <xf numFmtId="167" fontId="40" fillId="0" borderId="0" xfId="0" applyFont="1" applyFill="1"/>
    <xf numFmtId="167" fontId="36" fillId="0" borderId="0" xfId="0" applyFont="1" applyFill="1" applyBorder="1"/>
    <xf numFmtId="167" fontId="40" fillId="0" borderId="0" xfId="0" applyFont="1" applyFill="1" applyBorder="1"/>
    <xf numFmtId="166" fontId="36" fillId="0" borderId="0" xfId="1" applyNumberFormat="1" applyFont="1"/>
    <xf numFmtId="166" fontId="36" fillId="0" borderId="0" xfId="1" applyNumberFormat="1" applyFont="1" applyFill="1" applyBorder="1"/>
    <xf numFmtId="167" fontId="41" fillId="0" borderId="0" xfId="0" applyFont="1" applyFill="1"/>
    <xf numFmtId="166" fontId="41" fillId="0" borderId="0" xfId="1" applyNumberFormat="1" applyFont="1" applyFill="1"/>
    <xf numFmtId="166" fontId="41" fillId="0" borderId="0" xfId="1" applyNumberFormat="1" applyFont="1"/>
    <xf numFmtId="167" fontId="41" fillId="0" borderId="0" xfId="0" applyFont="1"/>
    <xf numFmtId="167" fontId="36" fillId="2" borderId="0" xfId="0" applyFont="1" applyFill="1"/>
    <xf numFmtId="166" fontId="42" fillId="0" borderId="1" xfId="1" applyNumberFormat="1" applyFont="1" applyFill="1" applyBorder="1"/>
    <xf numFmtId="167" fontId="41" fillId="0" borderId="0" xfId="0" applyFont="1" applyFill="1" applyAlignment="1">
      <alignment horizontal="right"/>
    </xf>
    <xf numFmtId="167" fontId="41" fillId="0" borderId="0" xfId="0" applyFont="1" applyFill="1" applyAlignment="1">
      <alignment horizontal="center"/>
    </xf>
    <xf numFmtId="166" fontId="42" fillId="0" borderId="0" xfId="1" applyNumberFormat="1" applyFont="1" applyFill="1" applyBorder="1"/>
    <xf numFmtId="166" fontId="40" fillId="0" borderId="0" xfId="1" applyNumberFormat="1" applyFont="1"/>
    <xf numFmtId="167" fontId="40" fillId="6" borderId="0" xfId="0" applyFont="1" applyFill="1"/>
    <xf numFmtId="167" fontId="41" fillId="6" borderId="0" xfId="0" applyFont="1" applyFill="1"/>
    <xf numFmtId="167" fontId="40" fillId="0" borderId="0" xfId="0" applyFont="1"/>
    <xf numFmtId="167" fontId="36" fillId="0" borderId="0" xfId="0" applyFont="1" applyFill="1" applyAlignment="1">
      <alignment horizontal="left"/>
    </xf>
    <xf numFmtId="167" fontId="41" fillId="0" borderId="0" xfId="0" applyFont="1" applyFill="1" applyAlignment="1">
      <alignment horizontal="left"/>
    </xf>
    <xf numFmtId="167" fontId="36" fillId="0" borderId="0" xfId="0" quotePrefix="1" applyFont="1" applyFill="1"/>
    <xf numFmtId="167" fontId="40" fillId="0" borderId="0" xfId="0" quotePrefix="1" applyFont="1" applyFill="1"/>
    <xf numFmtId="167" fontId="41" fillId="0" borderId="0" xfId="0" quotePrefix="1" applyFont="1" applyFill="1"/>
    <xf numFmtId="166" fontId="40" fillId="3" borderId="0" xfId="1" applyNumberFormat="1" applyFont="1" applyFill="1"/>
    <xf numFmtId="167" fontId="40" fillId="3" borderId="0" xfId="0" applyFont="1" applyFill="1"/>
    <xf numFmtId="167" fontId="40" fillId="0" borderId="0" xfId="0" quotePrefix="1" applyFont="1" applyFill="1" applyAlignment="1">
      <alignment horizontal="left"/>
    </xf>
    <xf numFmtId="166" fontId="43" fillId="0" borderId="0" xfId="1" applyNumberFormat="1" applyFont="1" applyFill="1"/>
    <xf numFmtId="167" fontId="43" fillId="0" borderId="0" xfId="0" applyFont="1" applyFill="1"/>
    <xf numFmtId="167" fontId="43" fillId="0" borderId="0" xfId="0" applyFont="1"/>
    <xf numFmtId="167" fontId="40" fillId="0" borderId="0" xfId="0" applyFont="1" applyFill="1" applyAlignment="1">
      <alignment horizontal="left"/>
    </xf>
    <xf numFmtId="166" fontId="36" fillId="3" borderId="0" xfId="1" applyNumberFormat="1" applyFont="1" applyFill="1"/>
    <xf numFmtId="167" fontId="36" fillId="3" borderId="0" xfId="0" applyFont="1" applyFill="1"/>
    <xf numFmtId="167" fontId="41" fillId="2" borderId="0" xfId="0" applyFont="1" applyFill="1"/>
    <xf numFmtId="167" fontId="40" fillId="0" borderId="0" xfId="0" applyFont="1" applyFill="1" applyAlignment="1">
      <alignment horizontal="right"/>
    </xf>
    <xf numFmtId="166" fontId="41" fillId="3" borderId="0" xfId="1" applyNumberFormat="1" applyFont="1" applyFill="1"/>
    <xf numFmtId="167" fontId="41" fillId="3" borderId="0" xfId="0" applyFont="1" applyFill="1"/>
    <xf numFmtId="167" fontId="44" fillId="0" borderId="0" xfId="0" applyFont="1" applyFill="1"/>
    <xf numFmtId="167" fontId="44" fillId="0" borderId="0" xfId="0" quotePrefix="1" applyFont="1" applyFill="1"/>
    <xf numFmtId="166" fontId="44" fillId="0" borderId="0" xfId="1" applyNumberFormat="1" applyFont="1" applyFill="1"/>
    <xf numFmtId="166" fontId="44" fillId="0" borderId="0" xfId="1" applyNumberFormat="1" applyFont="1"/>
    <xf numFmtId="167" fontId="45" fillId="0" borderId="0" xfId="0" applyFont="1" applyFill="1"/>
    <xf numFmtId="167" fontId="46" fillId="0" borderId="0" xfId="0" applyFont="1" applyFill="1"/>
    <xf numFmtId="166" fontId="45" fillId="0" borderId="0" xfId="1" applyNumberFormat="1" applyFont="1" applyFill="1"/>
    <xf numFmtId="167" fontId="40" fillId="2" borderId="0" xfId="0" applyFont="1" applyFill="1"/>
    <xf numFmtId="166" fontId="45" fillId="0" borderId="0" xfId="1" applyNumberFormat="1" applyFont="1"/>
    <xf numFmtId="167" fontId="45" fillId="2" borderId="0" xfId="0" applyFont="1" applyFill="1"/>
    <xf numFmtId="166" fontId="36" fillId="6" borderId="0" xfId="1" applyNumberFormat="1" applyFont="1" applyFill="1"/>
    <xf numFmtId="166" fontId="45" fillId="6" borderId="0" xfId="1" applyNumberFormat="1" applyFont="1" applyFill="1"/>
    <xf numFmtId="167" fontId="45" fillId="0" borderId="0" xfId="0" applyFont="1"/>
    <xf numFmtId="167" fontId="36" fillId="0" borderId="0" xfId="0" applyFont="1" applyFill="1" applyAlignment="1">
      <alignment horizontal="right"/>
    </xf>
    <xf numFmtId="167" fontId="47" fillId="0" borderId="0" xfId="0" applyFont="1" applyFill="1"/>
    <xf numFmtId="166" fontId="36" fillId="0" borderId="0" xfId="0" applyNumberFormat="1" applyFont="1" applyFill="1"/>
    <xf numFmtId="166" fontId="36" fillId="0" borderId="14" xfId="1" applyNumberFormat="1" applyFont="1" applyFill="1" applyBorder="1"/>
    <xf numFmtId="167" fontId="48" fillId="0" borderId="0" xfId="0" applyFont="1"/>
    <xf numFmtId="9" fontId="48" fillId="0" borderId="0" xfId="0" applyNumberFormat="1" applyFont="1" applyFill="1"/>
    <xf numFmtId="9" fontId="48" fillId="8" borderId="0" xfId="0" applyNumberFormat="1" applyFont="1" applyFill="1"/>
    <xf numFmtId="9" fontId="48" fillId="0" borderId="0" xfId="0" applyNumberFormat="1" applyFont="1"/>
    <xf numFmtId="167" fontId="50" fillId="0" borderId="0" xfId="0" applyFont="1" applyFill="1" applyAlignment="1">
      <alignment horizontal="center" vertical="center" shrinkToFit="1"/>
    </xf>
    <xf numFmtId="167" fontId="51" fillId="0" borderId="0" xfId="0" applyFont="1"/>
    <xf numFmtId="9" fontId="48" fillId="0" borderId="0" xfId="2" applyFont="1" applyFill="1"/>
    <xf numFmtId="167" fontId="52" fillId="8" borderId="0" xfId="0" applyFont="1" applyFill="1"/>
    <xf numFmtId="167" fontId="53" fillId="0" borderId="0" xfId="0" applyFont="1"/>
    <xf numFmtId="15" fontId="52" fillId="8" borderId="0" xfId="0" applyNumberFormat="1" applyFont="1" applyFill="1"/>
    <xf numFmtId="20" fontId="48" fillId="0" borderId="0" xfId="0" applyNumberFormat="1" applyFont="1"/>
    <xf numFmtId="14" fontId="48" fillId="0" borderId="0" xfId="0" applyNumberFormat="1" applyFont="1"/>
    <xf numFmtId="167" fontId="54" fillId="0" borderId="0" xfId="0" applyFont="1"/>
    <xf numFmtId="167" fontId="52" fillId="8" borderId="0" xfId="0" applyFont="1" applyFill="1" applyAlignment="1">
      <alignment horizontal="center"/>
    </xf>
    <xf numFmtId="49" fontId="48" fillId="0" borderId="0" xfId="0" applyNumberFormat="1" applyFont="1"/>
    <xf numFmtId="166" fontId="52" fillId="0" borderId="0" xfId="1" applyNumberFormat="1" applyFont="1" applyFill="1" applyAlignment="1">
      <alignment horizontal="center"/>
    </xf>
    <xf numFmtId="167" fontId="52" fillId="0" borderId="0" xfId="0" applyFont="1" applyAlignment="1">
      <alignment horizontal="center"/>
    </xf>
    <xf numFmtId="167" fontId="52" fillId="0" borderId="0" xfId="1" quotePrefix="1" applyNumberFormat="1" applyFont="1" applyFill="1" applyAlignment="1">
      <alignment horizontal="center"/>
    </xf>
    <xf numFmtId="167" fontId="52" fillId="8" borderId="0" xfId="0" quotePrefix="1" applyFont="1" applyFill="1" applyAlignment="1">
      <alignment horizontal="center"/>
    </xf>
    <xf numFmtId="167" fontId="52" fillId="0" borderId="0" xfId="0" quotePrefix="1" applyFont="1" applyAlignment="1">
      <alignment horizontal="center"/>
    </xf>
    <xf numFmtId="166" fontId="48" fillId="0" borderId="0" xfId="1" applyNumberFormat="1" applyFont="1" applyFill="1" applyAlignment="1">
      <alignment horizontal="center"/>
    </xf>
    <xf numFmtId="49" fontId="55" fillId="0" borderId="0" xfId="0" applyNumberFormat="1" applyFont="1"/>
    <xf numFmtId="49" fontId="52" fillId="0" borderId="0" xfId="0" applyNumberFormat="1" applyFont="1"/>
    <xf numFmtId="166" fontId="48" fillId="0" borderId="0" xfId="1" applyNumberFormat="1" applyFont="1" applyFill="1"/>
    <xf numFmtId="166" fontId="52" fillId="0" borderId="0" xfId="1" applyNumberFormat="1" applyFont="1" applyFill="1"/>
    <xf numFmtId="166" fontId="52" fillId="8" borderId="0" xfId="1" applyNumberFormat="1" applyFont="1" applyFill="1"/>
    <xf numFmtId="166" fontId="52" fillId="0" borderId="1" xfId="1" applyNumberFormat="1" applyFont="1" applyFill="1" applyBorder="1"/>
    <xf numFmtId="166" fontId="52" fillId="8" borderId="1" xfId="1" applyNumberFormat="1" applyFont="1" applyFill="1" applyBorder="1"/>
    <xf numFmtId="166" fontId="48" fillId="0" borderId="1" xfId="1" applyNumberFormat="1" applyFont="1" applyFill="1" applyBorder="1"/>
    <xf numFmtId="166" fontId="48" fillId="0" borderId="0" xfId="1" applyNumberFormat="1" applyFont="1"/>
    <xf numFmtId="167" fontId="52" fillId="0" borderId="0" xfId="0" applyFont="1"/>
    <xf numFmtId="166" fontId="52" fillId="6" borderId="0" xfId="1" applyNumberFormat="1" applyFont="1" applyFill="1"/>
    <xf numFmtId="166" fontId="48" fillId="0" borderId="0" xfId="1" applyNumberFormat="1" applyFont="1" applyFill="1" applyBorder="1"/>
    <xf numFmtId="166" fontId="52" fillId="8" borderId="0" xfId="1" applyNumberFormat="1" applyFont="1" applyFill="1" applyBorder="1"/>
    <xf numFmtId="166" fontId="48" fillId="6" borderId="0" xfId="1" applyNumberFormat="1" applyFont="1" applyFill="1"/>
    <xf numFmtId="49" fontId="48" fillId="0" borderId="0" xfId="0" applyNumberFormat="1" applyFont="1" applyFill="1"/>
    <xf numFmtId="166" fontId="52" fillId="0" borderId="0" xfId="1" applyNumberFormat="1" applyFont="1" applyFill="1" applyBorder="1"/>
    <xf numFmtId="166" fontId="52" fillId="6" borderId="0" xfId="1" applyNumberFormat="1" applyFont="1" applyFill="1" applyBorder="1"/>
    <xf numFmtId="10" fontId="48" fillId="0" borderId="0" xfId="2" applyNumberFormat="1" applyFont="1"/>
    <xf numFmtId="167" fontId="48" fillId="0" borderId="0" xfId="0" applyFont="1" applyFill="1"/>
    <xf numFmtId="10" fontId="48" fillId="0" borderId="0" xfId="2" applyNumberFormat="1" applyFont="1" applyFill="1"/>
    <xf numFmtId="166" fontId="48" fillId="0" borderId="1" xfId="1" applyNumberFormat="1" applyFont="1" applyBorder="1"/>
    <xf numFmtId="165" fontId="48" fillId="0" borderId="0" xfId="0" applyNumberFormat="1" applyFont="1"/>
    <xf numFmtId="166" fontId="52" fillId="6" borderId="1" xfId="1" applyNumberFormat="1" applyFont="1" applyFill="1" applyBorder="1"/>
    <xf numFmtId="165" fontId="52" fillId="0" borderId="0" xfId="1" applyFont="1" applyFill="1"/>
    <xf numFmtId="165" fontId="52" fillId="8" borderId="0" xfId="1" applyFont="1" applyFill="1"/>
    <xf numFmtId="165" fontId="48" fillId="0" borderId="0" xfId="1" applyFont="1"/>
    <xf numFmtId="165" fontId="48" fillId="0" borderId="0" xfId="1" applyFont="1" applyFill="1"/>
    <xf numFmtId="166" fontId="48" fillId="0" borderId="0" xfId="1" applyNumberFormat="1" applyFont="1" applyBorder="1"/>
    <xf numFmtId="167" fontId="56" fillId="0" borderId="0" xfId="0" applyFont="1"/>
    <xf numFmtId="166" fontId="48" fillId="0" borderId="0" xfId="0" applyNumberFormat="1" applyFont="1"/>
    <xf numFmtId="166" fontId="52" fillId="8" borderId="0" xfId="1" applyNumberFormat="1" applyFont="1" applyFill="1" applyAlignment="1">
      <alignment horizontal="center"/>
    </xf>
    <xf numFmtId="166" fontId="52" fillId="0" borderId="0" xfId="1" applyNumberFormat="1" applyFont="1" applyAlignment="1">
      <alignment horizontal="center"/>
    </xf>
    <xf numFmtId="10" fontId="57" fillId="0" borderId="0" xfId="2" applyNumberFormat="1" applyFont="1"/>
    <xf numFmtId="166" fontId="52" fillId="0" borderId="0" xfId="1" quotePrefix="1" applyNumberFormat="1" applyFont="1" applyAlignment="1">
      <alignment horizontal="center"/>
    </xf>
    <xf numFmtId="166" fontId="52" fillId="0" borderId="1" xfId="1" applyNumberFormat="1" applyFont="1" applyBorder="1"/>
    <xf numFmtId="10" fontId="58" fillId="0" borderId="0" xfId="2" applyNumberFormat="1" applyFont="1"/>
    <xf numFmtId="167" fontId="58" fillId="0" borderId="0" xfId="0" applyFont="1"/>
    <xf numFmtId="167" fontId="52" fillId="8" borderId="0" xfId="0" quotePrefix="1" applyFont="1" applyFill="1"/>
    <xf numFmtId="167" fontId="52" fillId="0" borderId="0" xfId="0" quotePrefix="1" applyFont="1"/>
    <xf numFmtId="9" fontId="52" fillId="8" borderId="0" xfId="2" applyFont="1" applyFill="1"/>
    <xf numFmtId="49" fontId="56" fillId="0" borderId="0" xfId="0" applyNumberFormat="1" applyFont="1" applyFill="1"/>
    <xf numFmtId="49" fontId="48" fillId="6" borderId="0" xfId="0" applyNumberFormat="1" applyFont="1" applyFill="1"/>
    <xf numFmtId="166" fontId="52" fillId="0" borderId="0" xfId="1" quotePrefix="1" applyNumberFormat="1" applyFont="1" applyFill="1" applyAlignment="1">
      <alignment horizontal="center"/>
    </xf>
    <xf numFmtId="166" fontId="52" fillId="8" borderId="0" xfId="1" quotePrefix="1" applyNumberFormat="1" applyFont="1" applyFill="1" applyAlignment="1">
      <alignment horizontal="center"/>
    </xf>
    <xf numFmtId="49" fontId="52" fillId="0" borderId="0" xfId="0" applyNumberFormat="1" applyFont="1" applyFill="1"/>
    <xf numFmtId="166" fontId="52" fillId="0" borderId="0" xfId="1" applyNumberFormat="1" applyFont="1" applyFill="1" applyBorder="1" applyAlignment="1">
      <alignment horizontal="center"/>
    </xf>
    <xf numFmtId="167" fontId="52" fillId="0" borderId="0" xfId="0" quotePrefix="1" applyFont="1" applyFill="1" applyAlignment="1">
      <alignment horizontal="center"/>
    </xf>
    <xf numFmtId="166" fontId="59" fillId="0" borderId="0" xfId="1" applyNumberFormat="1" applyFont="1" applyFill="1" applyBorder="1"/>
    <xf numFmtId="166" fontId="60" fillId="8" borderId="0" xfId="1" applyNumberFormat="1" applyFont="1" applyFill="1" applyBorder="1"/>
    <xf numFmtId="166" fontId="55" fillId="0" borderId="0" xfId="1" applyNumberFormat="1" applyFont="1" applyBorder="1"/>
    <xf numFmtId="10" fontId="55" fillId="0" borderId="0" xfId="2" applyNumberFormat="1" applyFont="1"/>
    <xf numFmtId="167" fontId="55" fillId="0" borderId="0" xfId="0" applyFont="1"/>
    <xf numFmtId="49" fontId="61" fillId="0" borderId="0" xfId="0" applyNumberFormat="1" applyFont="1"/>
    <xf numFmtId="167" fontId="62" fillId="0" borderId="0" xfId="0" applyFont="1"/>
    <xf numFmtId="166" fontId="48" fillId="4" borderId="0" xfId="1" applyNumberFormat="1" applyFont="1" applyFill="1"/>
    <xf numFmtId="166" fontId="48" fillId="5" borderId="0" xfId="1" applyNumberFormat="1" applyFont="1" applyFill="1"/>
    <xf numFmtId="49" fontId="48" fillId="0" borderId="0" xfId="0" applyNumberFormat="1" applyFont="1" applyBorder="1"/>
    <xf numFmtId="10" fontId="48" fillId="0" borderId="0" xfId="2" applyNumberFormat="1" applyFont="1" applyBorder="1"/>
    <xf numFmtId="167" fontId="48" fillId="0" borderId="0" xfId="0" applyFont="1" applyBorder="1"/>
    <xf numFmtId="167" fontId="52" fillId="8" borderId="0" xfId="0" applyFont="1" applyFill="1" applyBorder="1"/>
    <xf numFmtId="167" fontId="7" fillId="0" borderId="0" xfId="0" applyFont="1"/>
    <xf numFmtId="166" fontId="26" fillId="8" borderId="0" xfId="1" applyNumberFormat="1" applyFont="1" applyFill="1" applyBorder="1" applyAlignment="1">
      <alignment horizontal="center"/>
    </xf>
    <xf numFmtId="167" fontId="26" fillId="8" borderId="0" xfId="0" applyFont="1" applyFill="1" applyAlignment="1">
      <alignment horizontal="center"/>
    </xf>
    <xf numFmtId="9" fontId="26" fillId="0" borderId="0" xfId="2" applyFont="1" applyFill="1" applyAlignment="1">
      <alignment horizontal="center"/>
    </xf>
    <xf numFmtId="166" fontId="26" fillId="8" borderId="0" xfId="1" applyNumberFormat="1" applyFont="1" applyFill="1" applyAlignment="1">
      <alignment horizontal="center"/>
    </xf>
    <xf numFmtId="166" fontId="12" fillId="0" borderId="8" xfId="1" applyNumberFormat="1" applyFont="1" applyFill="1" applyBorder="1" applyAlignment="1">
      <alignment horizontal="center" vertical="center" wrapText="1"/>
    </xf>
    <xf numFmtId="166" fontId="12" fillId="0" borderId="15" xfId="1" applyNumberFormat="1" applyFont="1" applyFill="1" applyBorder="1" applyAlignment="1">
      <alignment horizontal="center" vertical="center" wrapText="1"/>
    </xf>
    <xf numFmtId="166" fontId="12" fillId="0" borderId="11" xfId="1" applyNumberFormat="1" applyFont="1" applyFill="1" applyBorder="1" applyAlignment="1">
      <alignment horizontal="center" vertical="center" wrapText="1"/>
    </xf>
    <xf numFmtId="167" fontId="17" fillId="0" borderId="0" xfId="0" applyFont="1" applyFill="1" applyBorder="1" applyAlignment="1">
      <alignment horizontal="left"/>
    </xf>
    <xf numFmtId="167" fontId="10" fillId="0" borderId="12" xfId="0" applyFont="1" applyFill="1" applyBorder="1" applyAlignment="1">
      <alignment horizontal="center" vertical="center"/>
    </xf>
    <xf numFmtId="166" fontId="12" fillId="0" borderId="4" xfId="1" applyNumberFormat="1" applyFont="1" applyFill="1" applyBorder="1" applyAlignment="1">
      <alignment horizontal="center" vertical="center" wrapText="1"/>
    </xf>
    <xf numFmtId="166" fontId="12" fillId="0" borderId="3" xfId="1" applyNumberFormat="1" applyFont="1" applyFill="1" applyBorder="1" applyAlignment="1">
      <alignment horizontal="center" vertical="center" wrapText="1"/>
    </xf>
    <xf numFmtId="167" fontId="12" fillId="0" borderId="4" xfId="0" applyFont="1" applyFill="1" applyBorder="1" applyAlignment="1">
      <alignment horizontal="center" vertical="center"/>
    </xf>
    <xf numFmtId="167" fontId="12" fillId="0" borderId="3" xfId="0" applyFont="1" applyFill="1" applyBorder="1" applyAlignment="1">
      <alignment horizontal="center" vertical="center"/>
    </xf>
    <xf numFmtId="167" fontId="7" fillId="0" borderId="0" xfId="0" applyFont="1" applyFill="1" applyBorder="1" applyAlignment="1"/>
    <xf numFmtId="167" fontId="53" fillId="0" borderId="0" xfId="0" applyFont="1" applyFill="1" applyAlignment="1">
      <alignment horizontal="left" vertical="center" wrapText="1"/>
    </xf>
    <xf numFmtId="167" fontId="21" fillId="0" borderId="0" xfId="0" applyFont="1" applyFill="1" applyAlignment="1">
      <alignment horizontal="left" vertical="center" wrapText="1"/>
    </xf>
    <xf numFmtId="167" fontId="21" fillId="0" borderId="0" xfId="0" applyFont="1" applyAlignment="1">
      <alignment horizontal="left" vertical="center" wrapText="1"/>
    </xf>
    <xf numFmtId="167" fontId="17" fillId="0" borderId="0" xfId="0" applyFont="1" applyFill="1" applyAlignment="1">
      <alignment horizontal="center" vertical="center" wrapText="1"/>
    </xf>
    <xf numFmtId="167" fontId="25" fillId="0" borderId="0" xfId="0" applyFont="1" applyFill="1" applyAlignment="1">
      <alignment horizontal="center" vertical="center" wrapText="1"/>
    </xf>
    <xf numFmtId="167" fontId="25" fillId="0" borderId="0" xfId="0" applyFont="1" applyAlignment="1">
      <alignment horizontal="center" vertical="center" wrapText="1"/>
    </xf>
    <xf numFmtId="167" fontId="49" fillId="0" borderId="0" xfId="0" applyFont="1" applyFill="1" applyAlignment="1">
      <alignment horizontal="center" vertical="center" shrinkToFit="1"/>
    </xf>
    <xf numFmtId="167" fontId="50" fillId="0" borderId="0" xfId="0" applyFont="1" applyFill="1" applyAlignment="1">
      <alignment horizontal="center" vertical="center" shrinkToFi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K98"/>
  <sheetViews>
    <sheetView view="pageBreakPreview" topLeftCell="A63" zoomScale="70" zoomScaleNormal="65" zoomScaleSheetLayoutView="70" workbookViewId="0">
      <selection activeCell="B93" sqref="B93"/>
    </sheetView>
  </sheetViews>
  <sheetFormatPr defaultRowHeight="12.75" x14ac:dyDescent="0.2"/>
  <cols>
    <col min="1" max="1" width="62.5703125" style="1" customWidth="1"/>
    <col min="2" max="2" width="7.42578125" style="1" bestFit="1" customWidth="1"/>
    <col min="3" max="3" width="16.85546875" style="1" customWidth="1"/>
    <col min="4" max="4" width="8.85546875" style="1" customWidth="1"/>
    <col min="5" max="5" width="13.140625" style="1" bestFit="1" customWidth="1"/>
    <col min="6" max="11" width="14.7109375" style="1" customWidth="1"/>
    <col min="12" max="12" width="15" style="1" customWidth="1"/>
    <col min="13" max="13" width="20.85546875" style="1" customWidth="1"/>
    <col min="14" max="14" width="14.7109375" style="1" customWidth="1"/>
    <col min="15" max="110" width="9.140625" style="1"/>
  </cols>
  <sheetData>
    <row r="1" spans="1:110" ht="20.25" x14ac:dyDescent="0.3">
      <c r="A1" s="15"/>
    </row>
    <row r="2" spans="1:110" ht="20.25" x14ac:dyDescent="0.3">
      <c r="A2" s="17"/>
    </row>
    <row r="3" spans="1:110" ht="27.75" x14ac:dyDescent="0.4">
      <c r="A3" s="14" t="s">
        <v>171</v>
      </c>
      <c r="F3" s="17"/>
      <c r="G3" s="17"/>
      <c r="H3" s="17"/>
      <c r="I3" s="17"/>
    </row>
    <row r="4" spans="1:110" ht="20.25" x14ac:dyDescent="0.3">
      <c r="A4" s="15" t="s">
        <v>533</v>
      </c>
      <c r="I4" s="6">
        <f ca="1">NOW()</f>
        <v>43011.405967361112</v>
      </c>
    </row>
    <row r="5" spans="1:110" x14ac:dyDescent="0.2">
      <c r="I5" s="7">
        <f ca="1">NOW()</f>
        <v>43011.405967361112</v>
      </c>
    </row>
    <row r="6" spans="1:110" x14ac:dyDescent="0.2">
      <c r="A6" s="1" t="s">
        <v>173</v>
      </c>
      <c r="B6" s="8">
        <v>7.0000000000000007E-2</v>
      </c>
      <c r="C6" s="1" t="s">
        <v>174</v>
      </c>
    </row>
    <row r="7" spans="1:110" x14ac:dyDescent="0.2">
      <c r="A7" s="1" t="s">
        <v>175</v>
      </c>
      <c r="B7" s="8">
        <v>7.0000000000000007E-2</v>
      </c>
      <c r="C7" s="1" t="s">
        <v>174</v>
      </c>
    </row>
    <row r="12" spans="1:110" x14ac:dyDescent="0.2">
      <c r="A12" s="16" t="s">
        <v>130</v>
      </c>
    </row>
    <row r="13" spans="1:110" x14ac:dyDescent="0.2">
      <c r="C13" s="1" t="s">
        <v>176</v>
      </c>
      <c r="D13" s="9" t="s">
        <v>177</v>
      </c>
      <c r="E13" s="9" t="s">
        <v>178</v>
      </c>
      <c r="F13" s="9" t="s">
        <v>179</v>
      </c>
      <c r="G13" s="9" t="s">
        <v>581</v>
      </c>
      <c r="H13" s="9" t="s">
        <v>582</v>
      </c>
      <c r="I13" s="9" t="s">
        <v>180</v>
      </c>
      <c r="J13" s="9" t="s">
        <v>181</v>
      </c>
      <c r="K13" s="9" t="s">
        <v>182</v>
      </c>
      <c r="L13" s="9" t="s">
        <v>184</v>
      </c>
      <c r="M13" s="9" t="s">
        <v>583</v>
      </c>
      <c r="N13" s="9"/>
    </row>
    <row r="14" spans="1:110" x14ac:dyDescent="0.2">
      <c r="A14" s="5"/>
      <c r="D14" s="9" t="s">
        <v>188</v>
      </c>
      <c r="E14" s="9" t="s">
        <v>189</v>
      </c>
      <c r="F14" s="9"/>
      <c r="G14" s="9"/>
      <c r="H14" s="9"/>
      <c r="I14" s="9" t="s">
        <v>190</v>
      </c>
      <c r="J14" s="9" t="s">
        <v>190</v>
      </c>
      <c r="K14" s="9" t="s">
        <v>191</v>
      </c>
      <c r="L14" s="9" t="s">
        <v>192</v>
      </c>
      <c r="M14" s="9" t="s">
        <v>192</v>
      </c>
      <c r="N14" s="9"/>
    </row>
    <row r="15" spans="1:110" s="3" customFormat="1" x14ac:dyDescent="0.2">
      <c r="A15" s="5" t="s">
        <v>130</v>
      </c>
      <c r="C15" s="21" t="s">
        <v>580</v>
      </c>
      <c r="D15" s="3">
        <v>2</v>
      </c>
      <c r="E15" s="2">
        <f>SUM(F15:N15)</f>
        <v>1000034.04</v>
      </c>
      <c r="F15" s="2">
        <f>47660*(B$6+1)*12</f>
        <v>611954.4</v>
      </c>
      <c r="G15" s="2">
        <f>1739*12</f>
        <v>20868</v>
      </c>
      <c r="H15" s="2"/>
      <c r="I15" s="2">
        <f>6553*12</f>
        <v>78636</v>
      </c>
      <c r="J15" s="2">
        <f>3871*(B$7+1)*12</f>
        <v>49703.64</v>
      </c>
      <c r="K15" s="2">
        <f>700*12</f>
        <v>8400</v>
      </c>
      <c r="L15" s="30">
        <f>19206*12</f>
        <v>230472</v>
      </c>
      <c r="M15" s="2"/>
      <c r="N15" s="2"/>
    </row>
    <row r="16" spans="1:110" s="4" customFormat="1" x14ac:dyDescent="0.2">
      <c r="A16" s="1"/>
      <c r="B16" s="1"/>
      <c r="C16" s="1"/>
      <c r="D16" s="1"/>
      <c r="E16" s="2">
        <f>SUM(F16:N16)</f>
        <v>0</v>
      </c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1:110" s="4" customFormat="1" x14ac:dyDescent="0.2">
      <c r="A17" s="18"/>
      <c r="B17" s="1"/>
      <c r="C17" s="18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1:110" ht="13.5" thickBot="1" x14ac:dyDescent="0.25">
      <c r="E18" s="10">
        <f>SUM(E15:E17)</f>
        <v>1000034.04</v>
      </c>
      <c r="F18" s="10">
        <f>SUM(F15:F17)</f>
        <v>611954.4</v>
      </c>
      <c r="G18" s="10">
        <f t="shared" ref="G18:H18" si="0">SUM(G15:G17)</f>
        <v>20868</v>
      </c>
      <c r="H18" s="10">
        <f t="shared" si="0"/>
        <v>0</v>
      </c>
      <c r="I18" s="10">
        <f>SUM(I15:I17)</f>
        <v>78636</v>
      </c>
      <c r="J18" s="10">
        <f>SUM(J15:J17)</f>
        <v>49703.64</v>
      </c>
      <c r="K18" s="10">
        <f>SUM(K15:K17)</f>
        <v>8400</v>
      </c>
      <c r="L18" s="10">
        <f>SUM(L15:L17)</f>
        <v>230472</v>
      </c>
      <c r="M18" s="10">
        <f>SUM(M15:M17)</f>
        <v>0</v>
      </c>
      <c r="N18" s="10"/>
    </row>
    <row r="19" spans="1:110" ht="13.5" thickTop="1" x14ac:dyDescent="0.2">
      <c r="C19" s="1" t="s">
        <v>199</v>
      </c>
      <c r="D19" s="1">
        <f>COUNT(D15:D17)</f>
        <v>1</v>
      </c>
    </row>
    <row r="20" spans="1:110" x14ac:dyDescent="0.2">
      <c r="A20" s="16" t="s">
        <v>134</v>
      </c>
    </row>
    <row r="21" spans="1:110" x14ac:dyDescent="0.2">
      <c r="C21" s="1" t="s">
        <v>176</v>
      </c>
      <c r="D21" s="9" t="s">
        <v>177</v>
      </c>
      <c r="E21" s="9" t="s">
        <v>178</v>
      </c>
      <c r="F21" s="9" t="s">
        <v>179</v>
      </c>
      <c r="G21" s="9" t="s">
        <v>581</v>
      </c>
      <c r="H21" s="9" t="s">
        <v>582</v>
      </c>
      <c r="I21" s="9" t="s">
        <v>180</v>
      </c>
      <c r="J21" s="9" t="s">
        <v>181</v>
      </c>
      <c r="K21" s="9" t="s">
        <v>182</v>
      </c>
      <c r="L21" s="9" t="s">
        <v>184</v>
      </c>
      <c r="M21" s="9" t="s">
        <v>583</v>
      </c>
      <c r="N21" s="9"/>
    </row>
    <row r="22" spans="1:110" x14ac:dyDescent="0.2">
      <c r="D22" s="9" t="s">
        <v>188</v>
      </c>
      <c r="E22" s="9" t="s">
        <v>189</v>
      </c>
      <c r="F22" s="9"/>
      <c r="G22" s="9"/>
      <c r="H22" s="9"/>
      <c r="I22" s="9" t="s">
        <v>190</v>
      </c>
      <c r="J22" s="9" t="s">
        <v>190</v>
      </c>
      <c r="K22" s="9" t="s">
        <v>191</v>
      </c>
      <c r="L22" s="9" t="s">
        <v>192</v>
      </c>
      <c r="M22" s="9" t="s">
        <v>192</v>
      </c>
      <c r="N22" s="9"/>
    </row>
    <row r="23" spans="1:110" x14ac:dyDescent="0.2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10" x14ac:dyDescent="0.2">
      <c r="A24" s="1" t="s">
        <v>134</v>
      </c>
      <c r="C24" s="1" t="s">
        <v>603</v>
      </c>
      <c r="D24" s="9"/>
      <c r="E24" s="2">
        <f t="shared" ref="E24:E39" si="1">SUM(F24:N24)</f>
        <v>785851.32</v>
      </c>
      <c r="F24" s="2">
        <f>37552*(B$6+1)*12</f>
        <v>482167.68</v>
      </c>
      <c r="G24" s="2">
        <f>1739*12</f>
        <v>20868</v>
      </c>
      <c r="H24" s="2">
        <v>0</v>
      </c>
      <c r="I24" s="2">
        <f>5163*12</f>
        <v>61956</v>
      </c>
      <c r="J24" s="2">
        <f t="shared" ref="J24" si="2">3871*(B$7+1)*12</f>
        <v>49703.64</v>
      </c>
      <c r="K24" s="2">
        <f t="shared" ref="K24:K26" si="3">700*12</f>
        <v>8400</v>
      </c>
      <c r="L24" s="2">
        <f>13563*12</f>
        <v>162756</v>
      </c>
      <c r="M24" s="9"/>
      <c r="N24" s="9"/>
    </row>
    <row r="25" spans="1:110" x14ac:dyDescent="0.2">
      <c r="A25" s="5" t="s">
        <v>584</v>
      </c>
      <c r="C25" s="1" t="s">
        <v>585</v>
      </c>
      <c r="E25" s="2">
        <f t="shared" si="1"/>
        <v>327123.12</v>
      </c>
      <c r="F25" s="2">
        <f>12047*(B$6+1)*12</f>
        <v>154683.48000000001</v>
      </c>
      <c r="G25" s="2"/>
      <c r="H25" s="2">
        <f t="shared" ref="H25:H38" si="4">1739*12</f>
        <v>20868</v>
      </c>
      <c r="I25" s="2">
        <f>2000*12</f>
        <v>24000</v>
      </c>
      <c r="J25" s="2">
        <f t="shared" ref="J25:J26" si="5">3871*(B$7+1)*12</f>
        <v>49703.64</v>
      </c>
      <c r="K25" s="2">
        <f t="shared" si="3"/>
        <v>8400</v>
      </c>
      <c r="L25" s="2">
        <f t="shared" ref="L25:L38" si="6">5789*12</f>
        <v>69468</v>
      </c>
      <c r="M25" s="2"/>
      <c r="N25" s="2"/>
    </row>
    <row r="26" spans="1:110" x14ac:dyDescent="0.2">
      <c r="A26" s="5" t="s">
        <v>584</v>
      </c>
      <c r="C26" s="1" t="s">
        <v>590</v>
      </c>
      <c r="E26" s="2">
        <f t="shared" si="1"/>
        <v>350312.52</v>
      </c>
      <c r="F26" s="2">
        <f>13482*(B$6+1)*12</f>
        <v>173108.88</v>
      </c>
      <c r="G26" s="2"/>
      <c r="H26" s="2">
        <f t="shared" si="4"/>
        <v>20868</v>
      </c>
      <c r="I26" s="2">
        <f>2397*12</f>
        <v>28764</v>
      </c>
      <c r="J26" s="2">
        <f t="shared" si="5"/>
        <v>49703.64</v>
      </c>
      <c r="K26" s="2">
        <f t="shared" si="3"/>
        <v>8400</v>
      </c>
      <c r="L26" s="2">
        <f t="shared" si="6"/>
        <v>69468</v>
      </c>
      <c r="M26" s="2"/>
      <c r="N26" s="2"/>
    </row>
    <row r="27" spans="1:110" x14ac:dyDescent="0.2">
      <c r="A27" s="5" t="s">
        <v>595</v>
      </c>
      <c r="C27" s="18" t="s">
        <v>596</v>
      </c>
      <c r="E27" s="2">
        <f t="shared" si="1"/>
        <v>379786.56</v>
      </c>
      <c r="F27" s="2">
        <f>15413*(B$6+1)*12</f>
        <v>197902.91999999998</v>
      </c>
      <c r="G27" s="2"/>
      <c r="H27" s="2">
        <f t="shared" si="4"/>
        <v>20868</v>
      </c>
      <c r="I27" s="2">
        <f>2787*12</f>
        <v>33444</v>
      </c>
      <c r="J27" s="2">
        <f t="shared" ref="J27" si="7">3871*(B$7+1)*12</f>
        <v>49703.64</v>
      </c>
      <c r="K27" s="2">
        <f t="shared" ref="K27:K68" si="8">700*12</f>
        <v>8400</v>
      </c>
      <c r="L27" s="2">
        <f t="shared" si="6"/>
        <v>69468</v>
      </c>
      <c r="M27" s="2"/>
      <c r="N27" s="2"/>
    </row>
    <row r="28" spans="1:110" x14ac:dyDescent="0.2">
      <c r="A28" s="5" t="s">
        <v>595</v>
      </c>
      <c r="C28" s="18" t="s">
        <v>599</v>
      </c>
      <c r="E28" s="2">
        <f t="shared" si="1"/>
        <v>381085.68000000005</v>
      </c>
      <c r="F28" s="2">
        <f>15531*(B$6+1)*12</f>
        <v>199418.04000000004</v>
      </c>
      <c r="G28" s="2"/>
      <c r="H28" s="2">
        <f t="shared" si="4"/>
        <v>20868</v>
      </c>
      <c r="I28" s="2">
        <f>2769*12</f>
        <v>33228</v>
      </c>
      <c r="J28" s="2">
        <f t="shared" ref="J28" si="9">3871*(B$7+1)*12</f>
        <v>49703.64</v>
      </c>
      <c r="K28" s="2">
        <f t="shared" si="8"/>
        <v>8400</v>
      </c>
      <c r="L28" s="2">
        <f t="shared" si="6"/>
        <v>69468</v>
      </c>
      <c r="M28" s="2"/>
      <c r="N28" s="2"/>
    </row>
    <row r="29" spans="1:110" x14ac:dyDescent="0.2">
      <c r="A29" s="5" t="s">
        <v>595</v>
      </c>
      <c r="C29" s="18" t="s">
        <v>601</v>
      </c>
      <c r="E29" s="2">
        <f t="shared" si="1"/>
        <v>381085.68000000005</v>
      </c>
      <c r="F29" s="2">
        <f>15531*(B$6+1)*12</f>
        <v>199418.04000000004</v>
      </c>
      <c r="G29" s="2"/>
      <c r="H29" s="2">
        <f t="shared" si="4"/>
        <v>20868</v>
      </c>
      <c r="I29" s="2">
        <f>2769*12</f>
        <v>33228</v>
      </c>
      <c r="J29" s="2">
        <f t="shared" ref="J29" si="10">3871*(B$7+1)*12</f>
        <v>49703.64</v>
      </c>
      <c r="K29" s="2">
        <f t="shared" si="8"/>
        <v>8400</v>
      </c>
      <c r="L29" s="2">
        <f t="shared" si="6"/>
        <v>69468</v>
      </c>
      <c r="M29" s="2"/>
      <c r="N29" s="2"/>
    </row>
    <row r="30" spans="1:110" x14ac:dyDescent="0.2">
      <c r="A30" s="5" t="s">
        <v>595</v>
      </c>
      <c r="C30" s="18" t="s">
        <v>602</v>
      </c>
      <c r="E30" s="2">
        <f t="shared" si="1"/>
        <v>381085.68000000005</v>
      </c>
      <c r="F30" s="2">
        <f>15531*(B$6+1)*12</f>
        <v>199418.04000000004</v>
      </c>
      <c r="G30" s="2"/>
      <c r="H30" s="2">
        <f t="shared" si="4"/>
        <v>20868</v>
      </c>
      <c r="I30" s="2">
        <f>2769*12</f>
        <v>33228</v>
      </c>
      <c r="J30" s="2">
        <f t="shared" ref="J30" si="11">3871*(B$7+1)*12</f>
        <v>49703.64</v>
      </c>
      <c r="K30" s="2">
        <f t="shared" si="8"/>
        <v>8400</v>
      </c>
      <c r="L30" s="2">
        <f t="shared" si="6"/>
        <v>69468</v>
      </c>
      <c r="M30" s="2"/>
      <c r="N30" s="2"/>
    </row>
    <row r="31" spans="1:110" x14ac:dyDescent="0.2">
      <c r="A31" s="5" t="s">
        <v>595</v>
      </c>
      <c r="C31" s="18" t="s">
        <v>608</v>
      </c>
      <c r="E31" s="2">
        <f t="shared" si="1"/>
        <v>381085.68000000005</v>
      </c>
      <c r="F31" s="2">
        <f>15531*(B$6+1)*12</f>
        <v>199418.04000000004</v>
      </c>
      <c r="G31" s="2"/>
      <c r="H31" s="2">
        <f t="shared" si="4"/>
        <v>20868</v>
      </c>
      <c r="I31" s="2">
        <f>2769*12</f>
        <v>33228</v>
      </c>
      <c r="J31" s="2">
        <f t="shared" ref="J31" si="12">3871*(B$7+1)*12</f>
        <v>49703.64</v>
      </c>
      <c r="K31" s="2">
        <f t="shared" si="8"/>
        <v>8400</v>
      </c>
      <c r="L31" s="2">
        <f t="shared" si="6"/>
        <v>69468</v>
      </c>
      <c r="M31" s="2"/>
      <c r="N31" s="2"/>
    </row>
    <row r="32" spans="1:110" x14ac:dyDescent="0.2">
      <c r="A32" s="5" t="s">
        <v>595</v>
      </c>
      <c r="C32" s="18" t="s">
        <v>609</v>
      </c>
      <c r="E32" s="2">
        <f t="shared" si="1"/>
        <v>381085.68000000005</v>
      </c>
      <c r="F32" s="2">
        <f>15531*(B$6+1)*12</f>
        <v>199418.04000000004</v>
      </c>
      <c r="G32" s="2"/>
      <c r="H32" s="2">
        <f t="shared" si="4"/>
        <v>20868</v>
      </c>
      <c r="I32" s="2">
        <f>2769*12</f>
        <v>33228</v>
      </c>
      <c r="J32" s="2">
        <f t="shared" ref="J32" si="13">3871*(B$7+1)*12</f>
        <v>49703.64</v>
      </c>
      <c r="K32" s="2">
        <f t="shared" si="8"/>
        <v>8400</v>
      </c>
      <c r="L32" s="2">
        <f t="shared" si="6"/>
        <v>69468</v>
      </c>
      <c r="M32" s="2"/>
      <c r="N32" s="2"/>
    </row>
    <row r="33" spans="1:14" x14ac:dyDescent="0.2">
      <c r="A33" s="5" t="s">
        <v>595</v>
      </c>
      <c r="C33" s="18" t="s">
        <v>610</v>
      </c>
      <c r="E33" s="2">
        <f t="shared" si="1"/>
        <v>357343.92</v>
      </c>
      <c r="F33" s="2">
        <f>13967*(B$6+1)*12</f>
        <v>179336.28</v>
      </c>
      <c r="G33" s="2"/>
      <c r="H33" s="2">
        <f t="shared" si="4"/>
        <v>20868</v>
      </c>
      <c r="I33" s="2">
        <f>2464*12</f>
        <v>29568</v>
      </c>
      <c r="J33" s="2">
        <f t="shared" ref="J33" si="14">3871*(B$7+1)*12</f>
        <v>49703.64</v>
      </c>
      <c r="K33" s="2">
        <f t="shared" si="8"/>
        <v>8400</v>
      </c>
      <c r="L33" s="2">
        <f t="shared" si="6"/>
        <v>69468</v>
      </c>
      <c r="M33" s="2"/>
      <c r="N33" s="2"/>
    </row>
    <row r="34" spans="1:14" x14ac:dyDescent="0.2">
      <c r="A34" s="5" t="s">
        <v>595</v>
      </c>
      <c r="C34" s="18" t="s">
        <v>611</v>
      </c>
      <c r="E34" s="2">
        <f t="shared" si="1"/>
        <v>350694.36000000004</v>
      </c>
      <c r="F34" s="2">
        <f>13508*(B$6+1)*12</f>
        <v>173442.72000000003</v>
      </c>
      <c r="G34" s="2"/>
      <c r="H34" s="2">
        <f t="shared" si="4"/>
        <v>20868</v>
      </c>
      <c r="I34" s="2">
        <f>2401*12</f>
        <v>28812</v>
      </c>
      <c r="J34" s="2">
        <f t="shared" ref="J34" si="15">3871*(B$7+1)*12</f>
        <v>49703.64</v>
      </c>
      <c r="K34" s="2">
        <f t="shared" si="8"/>
        <v>8400</v>
      </c>
      <c r="L34" s="2">
        <f t="shared" si="6"/>
        <v>69468</v>
      </c>
      <c r="M34" s="2"/>
      <c r="N34" s="2"/>
    </row>
    <row r="35" spans="1:14" x14ac:dyDescent="0.2">
      <c r="A35" s="5" t="s">
        <v>595</v>
      </c>
      <c r="C35" s="18" t="s">
        <v>612</v>
      </c>
      <c r="E35" s="2">
        <f t="shared" si="1"/>
        <v>350312.52</v>
      </c>
      <c r="F35" s="2">
        <f>13482*(B$6+1)*12</f>
        <v>173108.88</v>
      </c>
      <c r="G35" s="2"/>
      <c r="H35" s="2">
        <f t="shared" si="4"/>
        <v>20868</v>
      </c>
      <c r="I35" s="2">
        <f>2397*12</f>
        <v>28764</v>
      </c>
      <c r="J35" s="2">
        <f t="shared" ref="J35" si="16">3871*(B$7+1)*12</f>
        <v>49703.64</v>
      </c>
      <c r="K35" s="2">
        <f t="shared" si="8"/>
        <v>8400</v>
      </c>
      <c r="L35" s="2">
        <f t="shared" si="6"/>
        <v>69468</v>
      </c>
      <c r="M35" s="2"/>
      <c r="N35" s="2"/>
    </row>
    <row r="36" spans="1:14" x14ac:dyDescent="0.2">
      <c r="A36" s="5" t="s">
        <v>595</v>
      </c>
      <c r="C36" s="18" t="s">
        <v>614</v>
      </c>
      <c r="E36" s="2">
        <f t="shared" si="1"/>
        <v>380005.68000000005</v>
      </c>
      <c r="F36" s="2">
        <f>15531*(B$6+1)*12</f>
        <v>199418.04000000004</v>
      </c>
      <c r="G36" s="2"/>
      <c r="H36" s="2">
        <f t="shared" si="4"/>
        <v>20868</v>
      </c>
      <c r="I36" s="2">
        <f>2679*12</f>
        <v>32148</v>
      </c>
      <c r="J36" s="2">
        <f t="shared" ref="J36" si="17">3871*(B$7+1)*12</f>
        <v>49703.64</v>
      </c>
      <c r="K36" s="2">
        <f t="shared" si="8"/>
        <v>8400</v>
      </c>
      <c r="L36" s="2">
        <f t="shared" si="6"/>
        <v>69468</v>
      </c>
      <c r="M36" s="2"/>
      <c r="N36" s="2"/>
    </row>
    <row r="37" spans="1:14" x14ac:dyDescent="0.2">
      <c r="A37" s="5" t="s">
        <v>595</v>
      </c>
      <c r="C37" s="18" t="s">
        <v>613</v>
      </c>
      <c r="E37" s="2">
        <f t="shared" si="1"/>
        <v>380005.68000000005</v>
      </c>
      <c r="F37" s="2">
        <f>15531*(B$6+1)*12</f>
        <v>199418.04000000004</v>
      </c>
      <c r="G37" s="2"/>
      <c r="H37" s="2">
        <f t="shared" si="4"/>
        <v>20868</v>
      </c>
      <c r="I37" s="2">
        <f>2679*12</f>
        <v>32148</v>
      </c>
      <c r="J37" s="2">
        <f t="shared" ref="J37" si="18">3871*(B$7+1)*12</f>
        <v>49703.64</v>
      </c>
      <c r="K37" s="2">
        <f t="shared" si="8"/>
        <v>8400</v>
      </c>
      <c r="L37" s="2">
        <f t="shared" si="6"/>
        <v>69468</v>
      </c>
      <c r="M37" s="2"/>
      <c r="N37" s="2"/>
    </row>
    <row r="38" spans="1:14" x14ac:dyDescent="0.2">
      <c r="A38" s="5" t="s">
        <v>595</v>
      </c>
      <c r="C38" s="18" t="s">
        <v>622</v>
      </c>
      <c r="E38" s="2">
        <f t="shared" si="1"/>
        <v>380450.64</v>
      </c>
      <c r="F38" s="2">
        <f>15775*(B$6+1)*12</f>
        <v>202551</v>
      </c>
      <c r="G38" s="2"/>
      <c r="H38" s="2">
        <f t="shared" si="4"/>
        <v>20868</v>
      </c>
      <c r="I38" s="2">
        <f>2455*12</f>
        <v>29460</v>
      </c>
      <c r="J38" s="2">
        <f t="shared" ref="J38" si="19">3871*(B$7+1)*12</f>
        <v>49703.64</v>
      </c>
      <c r="K38" s="2">
        <f t="shared" si="8"/>
        <v>8400</v>
      </c>
      <c r="L38" s="2">
        <f t="shared" si="6"/>
        <v>69468</v>
      </c>
      <c r="M38" s="2"/>
      <c r="N38" s="2"/>
    </row>
    <row r="39" spans="1:14" x14ac:dyDescent="0.2">
      <c r="A39" s="5" t="s">
        <v>595</v>
      </c>
      <c r="C39" s="18" t="s">
        <v>626</v>
      </c>
      <c r="E39" s="2">
        <f t="shared" si="1"/>
        <v>765843.96000000008</v>
      </c>
      <c r="F39" s="2">
        <f>37848*(B$6+1)*12</f>
        <v>485968.32</v>
      </c>
      <c r="G39" s="2">
        <f>1739*12</f>
        <v>20868</v>
      </c>
      <c r="H39" s="2">
        <v>0</v>
      </c>
      <c r="I39" s="2">
        <f>3298*12</f>
        <v>39576</v>
      </c>
      <c r="J39" s="2">
        <f t="shared" ref="J39" si="20">3871*(B$7+1)*12</f>
        <v>49703.64</v>
      </c>
      <c r="K39" s="2">
        <f t="shared" si="8"/>
        <v>8400</v>
      </c>
      <c r="L39" s="2">
        <f>13444*12</f>
        <v>161328</v>
      </c>
      <c r="M39" s="2"/>
      <c r="N39" s="2"/>
    </row>
    <row r="40" spans="1:14" x14ac:dyDescent="0.2">
      <c r="A40" s="5" t="s">
        <v>588</v>
      </c>
      <c r="C40" s="1" t="s">
        <v>591</v>
      </c>
      <c r="E40" s="2">
        <f t="shared" ref="E40:E45" si="21">SUM(F40:N40)</f>
        <v>45222.48</v>
      </c>
      <c r="F40" s="2">
        <f>3522*(B$6+1)*12</f>
        <v>45222.48</v>
      </c>
      <c r="G40" s="2"/>
      <c r="H40" s="2"/>
      <c r="I40" s="2"/>
      <c r="J40" s="2"/>
      <c r="K40" s="2"/>
      <c r="L40" s="2"/>
      <c r="M40" s="2"/>
      <c r="N40" s="2"/>
    </row>
    <row r="41" spans="1:14" x14ac:dyDescent="0.2">
      <c r="A41" s="5" t="s">
        <v>587</v>
      </c>
      <c r="C41" s="1" t="s">
        <v>586</v>
      </c>
      <c r="E41" s="2">
        <f t="shared" si="21"/>
        <v>0</v>
      </c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">
      <c r="A42" s="5" t="s">
        <v>588</v>
      </c>
      <c r="C42" s="18" t="s">
        <v>589</v>
      </c>
      <c r="E42" s="2">
        <f t="shared" si="21"/>
        <v>0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">
      <c r="A43" s="5" t="s">
        <v>588</v>
      </c>
      <c r="C43" s="18" t="s">
        <v>594</v>
      </c>
      <c r="E43" s="2">
        <f t="shared" si="21"/>
        <v>45222.48</v>
      </c>
      <c r="F43" s="2">
        <f>3522*(B$6+1)*12</f>
        <v>45222.48</v>
      </c>
      <c r="G43" s="2"/>
      <c r="H43" s="2"/>
      <c r="I43" s="2"/>
      <c r="J43" s="2"/>
      <c r="K43" s="2"/>
      <c r="L43" s="2"/>
      <c r="M43" s="2"/>
      <c r="N43" s="2"/>
    </row>
    <row r="44" spans="1:14" x14ac:dyDescent="0.2">
      <c r="A44" s="5" t="s">
        <v>588</v>
      </c>
      <c r="C44" s="18" t="s">
        <v>593</v>
      </c>
      <c r="E44" s="2">
        <f t="shared" si="21"/>
        <v>45222.48</v>
      </c>
      <c r="F44" s="2">
        <f>3522*(B$6+1)*12</f>
        <v>45222.48</v>
      </c>
      <c r="G44" s="2"/>
      <c r="H44" s="2"/>
      <c r="I44" s="2"/>
      <c r="J44" s="2"/>
      <c r="K44" s="2"/>
      <c r="L44" s="2"/>
      <c r="M44" s="2"/>
      <c r="N44" s="2"/>
    </row>
    <row r="45" spans="1:14" x14ac:dyDescent="0.2">
      <c r="A45" s="5" t="s">
        <v>588</v>
      </c>
      <c r="C45" s="18" t="s">
        <v>592</v>
      </c>
      <c r="E45" s="2">
        <f t="shared" si="21"/>
        <v>45222.48</v>
      </c>
      <c r="F45" s="2">
        <f>3522*(B$6+1)*12</f>
        <v>45222.48</v>
      </c>
      <c r="G45" s="2"/>
      <c r="H45" s="2"/>
      <c r="I45" s="2"/>
      <c r="J45" s="2"/>
      <c r="K45" s="2"/>
      <c r="L45" s="2"/>
      <c r="M45" s="2"/>
      <c r="N45" s="2"/>
    </row>
    <row r="46" spans="1:14" x14ac:dyDescent="0.2">
      <c r="A46" s="5" t="s">
        <v>588</v>
      </c>
      <c r="C46" s="18" t="s">
        <v>597</v>
      </c>
      <c r="E46" s="2">
        <f t="shared" ref="E46" si="22">SUM(F46:N46)</f>
        <v>54968.04</v>
      </c>
      <c r="F46" s="2">
        <f>4281*(B$6+1)*12</f>
        <v>54968.04</v>
      </c>
      <c r="G46" s="2"/>
      <c r="H46" s="2"/>
      <c r="I46" s="2"/>
      <c r="J46" s="2"/>
      <c r="K46" s="2"/>
      <c r="L46" s="2"/>
      <c r="M46" s="2"/>
      <c r="N46" s="2"/>
    </row>
    <row r="47" spans="1:14" x14ac:dyDescent="0.2">
      <c r="A47" s="5" t="s">
        <v>588</v>
      </c>
      <c r="C47" s="18" t="s">
        <v>598</v>
      </c>
      <c r="D47" s="5"/>
      <c r="E47" s="2">
        <f t="shared" ref="E47" si="23">SUM(F47:N47)</f>
        <v>45222.48</v>
      </c>
      <c r="F47" s="2">
        <f>3522*(B$6+1)*12</f>
        <v>45222.48</v>
      </c>
      <c r="G47" s="2"/>
      <c r="H47" s="2"/>
      <c r="I47" s="2"/>
      <c r="J47" s="2"/>
      <c r="K47" s="2"/>
      <c r="L47" s="2"/>
      <c r="M47" s="2"/>
      <c r="N47" s="2"/>
    </row>
    <row r="48" spans="1:14" x14ac:dyDescent="0.2">
      <c r="A48" s="5" t="s">
        <v>588</v>
      </c>
      <c r="C48" s="18" t="s">
        <v>600</v>
      </c>
      <c r="D48" s="5"/>
      <c r="E48" s="2">
        <f t="shared" ref="E48" si="24">SUM(F48:N48)</f>
        <v>45222.48</v>
      </c>
      <c r="F48" s="2">
        <f>3522*(B$6+1)*12</f>
        <v>45222.48</v>
      </c>
      <c r="G48" s="2"/>
      <c r="H48" s="2"/>
      <c r="I48" s="2"/>
      <c r="J48" s="2"/>
      <c r="K48" s="2"/>
      <c r="L48" s="2"/>
      <c r="M48" s="2"/>
      <c r="N48" s="2"/>
    </row>
    <row r="49" spans="1:115" x14ac:dyDescent="0.2">
      <c r="A49" s="5" t="s">
        <v>588</v>
      </c>
      <c r="C49" s="18" t="s">
        <v>604</v>
      </c>
      <c r="D49" s="5"/>
      <c r="E49" s="2">
        <f t="shared" ref="E49" si="25">SUM(F49:N49)</f>
        <v>45222.48</v>
      </c>
      <c r="F49" s="2">
        <f>3522*(B$6+1)*12</f>
        <v>45222.48</v>
      </c>
      <c r="G49" s="2"/>
      <c r="H49" s="2"/>
      <c r="I49" s="2"/>
      <c r="J49" s="2"/>
      <c r="K49" s="2"/>
      <c r="L49" s="2"/>
      <c r="M49" s="2"/>
      <c r="N49" s="2"/>
    </row>
    <row r="50" spans="1:115" x14ac:dyDescent="0.2">
      <c r="A50" s="5" t="s">
        <v>588</v>
      </c>
      <c r="C50" s="18" t="s">
        <v>605</v>
      </c>
      <c r="D50" s="5"/>
      <c r="E50" s="2">
        <f t="shared" ref="E50" si="26">SUM(F50:N50)</f>
        <v>54968.04</v>
      </c>
      <c r="F50" s="2">
        <f>4281*(B$6+1)*12</f>
        <v>54968.04</v>
      </c>
      <c r="G50" s="2"/>
      <c r="H50" s="2"/>
      <c r="I50" s="2"/>
      <c r="J50" s="2"/>
      <c r="K50" s="2"/>
      <c r="L50" s="2"/>
      <c r="M50" s="2"/>
      <c r="N50" s="2"/>
    </row>
    <row r="51" spans="1:115" x14ac:dyDescent="0.2">
      <c r="A51" s="5" t="s">
        <v>588</v>
      </c>
      <c r="C51" s="18" t="s">
        <v>606</v>
      </c>
      <c r="D51" s="5"/>
      <c r="E51" s="2">
        <f t="shared" ref="E51" si="27">SUM(F51:N51)</f>
        <v>45222.48</v>
      </c>
      <c r="F51" s="2">
        <f t="shared" ref="F51:F59" si="28">3522*(B$6+1)*12</f>
        <v>45222.48</v>
      </c>
      <c r="G51" s="2"/>
      <c r="H51" s="2"/>
      <c r="I51" s="2"/>
      <c r="J51" s="2"/>
      <c r="K51" s="2"/>
      <c r="L51" s="2"/>
      <c r="M51" s="2"/>
      <c r="N51" s="2"/>
    </row>
    <row r="52" spans="1:115" x14ac:dyDescent="0.2">
      <c r="A52" s="5" t="s">
        <v>588</v>
      </c>
      <c r="C52" s="18" t="s">
        <v>607</v>
      </c>
      <c r="D52" s="5"/>
      <c r="E52" s="2">
        <f t="shared" ref="E52" si="29">SUM(F52:N52)</f>
        <v>45222.48</v>
      </c>
      <c r="F52" s="2">
        <f t="shared" si="28"/>
        <v>45222.48</v>
      </c>
      <c r="G52" s="2"/>
      <c r="H52" s="2"/>
      <c r="I52" s="2"/>
      <c r="J52" s="2"/>
      <c r="K52" s="2"/>
      <c r="L52" s="2"/>
      <c r="M52" s="2"/>
      <c r="N52" s="2"/>
    </row>
    <row r="53" spans="1:115" x14ac:dyDescent="0.2">
      <c r="A53" s="5" t="s">
        <v>588</v>
      </c>
      <c r="C53" s="18" t="s">
        <v>615</v>
      </c>
      <c r="D53" s="5"/>
      <c r="E53" s="2">
        <f t="shared" ref="E53" si="30">SUM(F53:N53)</f>
        <v>45222.48</v>
      </c>
      <c r="F53" s="2">
        <f t="shared" si="28"/>
        <v>45222.48</v>
      </c>
      <c r="G53" s="2"/>
      <c r="H53" s="2"/>
      <c r="I53" s="2"/>
      <c r="J53" s="2"/>
      <c r="K53" s="2"/>
      <c r="L53" s="2"/>
      <c r="M53" s="2"/>
      <c r="N53" s="2"/>
    </row>
    <row r="54" spans="1:115" x14ac:dyDescent="0.2">
      <c r="A54" s="5" t="s">
        <v>588</v>
      </c>
      <c r="C54" s="18" t="s">
        <v>616</v>
      </c>
      <c r="D54" s="5"/>
      <c r="E54" s="2">
        <f t="shared" ref="E54" si="31">SUM(F54:N54)</f>
        <v>45222.48</v>
      </c>
      <c r="F54" s="2">
        <f t="shared" si="28"/>
        <v>45222.48</v>
      </c>
      <c r="G54" s="2"/>
      <c r="H54" s="2"/>
      <c r="I54" s="2"/>
      <c r="J54" s="2"/>
      <c r="K54" s="2"/>
      <c r="L54" s="2"/>
      <c r="M54" s="2"/>
      <c r="N54" s="2"/>
    </row>
    <row r="55" spans="1:115" x14ac:dyDescent="0.2">
      <c r="A55" s="5" t="s">
        <v>588</v>
      </c>
      <c r="C55" s="18" t="s">
        <v>617</v>
      </c>
      <c r="D55" s="5"/>
      <c r="E55" s="2">
        <f t="shared" ref="E55" si="32">SUM(F55:N55)</f>
        <v>45222.48</v>
      </c>
      <c r="F55" s="2">
        <f t="shared" si="28"/>
        <v>45222.48</v>
      </c>
      <c r="G55" s="2"/>
      <c r="H55" s="2"/>
      <c r="I55" s="2"/>
      <c r="J55" s="2"/>
      <c r="K55" s="2"/>
      <c r="L55" s="2"/>
      <c r="M55" s="2"/>
      <c r="N55" s="2"/>
    </row>
    <row r="56" spans="1:115" x14ac:dyDescent="0.2">
      <c r="A56" s="5" t="s">
        <v>588</v>
      </c>
      <c r="C56" s="18" t="s">
        <v>618</v>
      </c>
      <c r="D56" s="5"/>
      <c r="E56" s="2">
        <f t="shared" ref="E56" si="33">SUM(F56:N56)</f>
        <v>45222.48</v>
      </c>
      <c r="F56" s="2">
        <f t="shared" si="28"/>
        <v>45222.48</v>
      </c>
      <c r="G56" s="2"/>
      <c r="H56" s="2"/>
      <c r="I56" s="2"/>
      <c r="J56" s="2"/>
      <c r="K56" s="2"/>
      <c r="L56" s="2"/>
      <c r="M56" s="2"/>
      <c r="N56" s="2"/>
    </row>
    <row r="57" spans="1:115" x14ac:dyDescent="0.2">
      <c r="A57" s="5" t="s">
        <v>588</v>
      </c>
      <c r="C57" s="18" t="s">
        <v>619</v>
      </c>
      <c r="D57" s="5"/>
      <c r="E57" s="2">
        <f t="shared" ref="E57" si="34">SUM(F57:N57)</f>
        <v>45222.48</v>
      </c>
      <c r="F57" s="2">
        <f t="shared" si="28"/>
        <v>45222.48</v>
      </c>
      <c r="G57" s="2"/>
      <c r="H57" s="2"/>
      <c r="I57" s="2"/>
      <c r="J57" s="2"/>
      <c r="K57" s="2"/>
      <c r="L57" s="2"/>
      <c r="M57" s="2"/>
      <c r="N57" s="2"/>
    </row>
    <row r="58" spans="1:115" x14ac:dyDescent="0.2">
      <c r="A58" s="5" t="s">
        <v>588</v>
      </c>
      <c r="C58" s="18" t="s">
        <v>620</v>
      </c>
      <c r="D58" s="5"/>
      <c r="E58" s="2">
        <f t="shared" ref="E58" si="35">SUM(F58:N58)</f>
        <v>45222.48</v>
      </c>
      <c r="F58" s="2">
        <f t="shared" si="28"/>
        <v>45222.48</v>
      </c>
      <c r="G58" s="2"/>
      <c r="H58" s="2"/>
      <c r="I58" s="2"/>
      <c r="J58" s="2"/>
      <c r="K58" s="2"/>
      <c r="L58" s="2"/>
      <c r="M58" s="2"/>
      <c r="N58" s="2"/>
    </row>
    <row r="59" spans="1:115" x14ac:dyDescent="0.2">
      <c r="A59" s="5" t="s">
        <v>588</v>
      </c>
      <c r="C59" s="18" t="s">
        <v>621</v>
      </c>
      <c r="D59" s="5"/>
      <c r="E59" s="2">
        <f t="shared" ref="E59" si="36">SUM(F59:N59)</f>
        <v>45222.48</v>
      </c>
      <c r="F59" s="2">
        <f t="shared" si="28"/>
        <v>45222.48</v>
      </c>
      <c r="G59" s="2"/>
      <c r="H59" s="2"/>
      <c r="I59" s="2"/>
      <c r="J59" s="2"/>
      <c r="K59" s="2"/>
      <c r="L59" s="2"/>
      <c r="M59" s="2"/>
      <c r="N59" s="2"/>
    </row>
    <row r="60" spans="1:115" x14ac:dyDescent="0.2">
      <c r="A60" s="5"/>
      <c r="C60" s="18"/>
      <c r="D60" s="5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15" s="1" customFormat="1" x14ac:dyDescent="0.2">
      <c r="A61" s="5" t="s">
        <v>639</v>
      </c>
      <c r="E61" s="2">
        <f>M61</f>
        <v>570388</v>
      </c>
      <c r="F61" s="2"/>
      <c r="G61" s="2"/>
      <c r="H61" s="2"/>
      <c r="I61" s="2"/>
      <c r="J61" s="2"/>
      <c r="K61" s="2"/>
      <c r="L61" s="2"/>
      <c r="M61" s="2">
        <v>570388</v>
      </c>
      <c r="N61" s="2"/>
      <c r="DG61"/>
      <c r="DH61"/>
      <c r="DI61"/>
      <c r="DJ61"/>
      <c r="DK61"/>
    </row>
    <row r="62" spans="1:115" s="1" customFormat="1" x14ac:dyDescent="0.2">
      <c r="A62" s="5"/>
      <c r="C62" s="5"/>
      <c r="E62" s="2"/>
      <c r="F62" s="2"/>
      <c r="G62" s="2"/>
      <c r="H62" s="2"/>
      <c r="I62" s="2"/>
      <c r="J62" s="2"/>
      <c r="K62" s="2"/>
      <c r="L62" s="2"/>
      <c r="M62" s="2"/>
      <c r="N62" s="2"/>
      <c r="DG62"/>
      <c r="DH62"/>
      <c r="DI62"/>
      <c r="DJ62"/>
      <c r="DK62"/>
    </row>
    <row r="63" spans="1:115" s="1" customFormat="1" ht="13.5" thickBot="1" x14ac:dyDescent="0.25">
      <c r="E63" s="10">
        <f>SUM(E24:E62)</f>
        <v>8117042.4400000069</v>
      </c>
      <c r="F63" s="10">
        <f>SUM(F24:F62)</f>
        <v>4451692.200000002</v>
      </c>
      <c r="G63" s="10">
        <f t="shared" ref="G63:N63" si="37">SUM(G24:G62)</f>
        <v>41736</v>
      </c>
      <c r="H63" s="10">
        <f t="shared" si="37"/>
        <v>292152</v>
      </c>
      <c r="I63" s="10">
        <f t="shared" si="37"/>
        <v>534780</v>
      </c>
      <c r="J63" s="10">
        <f t="shared" si="37"/>
        <v>795258.24000000011</v>
      </c>
      <c r="K63" s="10">
        <f t="shared" si="37"/>
        <v>134400</v>
      </c>
      <c r="L63" s="10">
        <f t="shared" si="37"/>
        <v>1296636</v>
      </c>
      <c r="M63" s="10">
        <f t="shared" si="37"/>
        <v>570388</v>
      </c>
      <c r="N63" s="10">
        <f t="shared" si="37"/>
        <v>0</v>
      </c>
      <c r="DG63"/>
      <c r="DH63"/>
      <c r="DI63"/>
      <c r="DJ63"/>
      <c r="DK63"/>
    </row>
    <row r="64" spans="1:115" s="1" customFormat="1" ht="13.5" thickTop="1" x14ac:dyDescent="0.2">
      <c r="C64" s="1" t="s">
        <v>199</v>
      </c>
      <c r="D64" s="1">
        <f>COUNT(D25:D63)</f>
        <v>0</v>
      </c>
      <c r="DG64"/>
      <c r="DH64"/>
      <c r="DI64"/>
      <c r="DJ64"/>
      <c r="DK64"/>
    </row>
    <row r="65" spans="1:115" s="1" customFormat="1" x14ac:dyDescent="0.2">
      <c r="A65" s="16" t="s">
        <v>16</v>
      </c>
      <c r="DG65"/>
      <c r="DH65"/>
      <c r="DI65"/>
      <c r="DJ65"/>
      <c r="DK65"/>
    </row>
    <row r="66" spans="1:115" s="1" customFormat="1" x14ac:dyDescent="0.2">
      <c r="C66" s="1" t="s">
        <v>176</v>
      </c>
      <c r="D66" s="9" t="s">
        <v>177</v>
      </c>
      <c r="E66" s="9" t="s">
        <v>178</v>
      </c>
      <c r="F66" s="9" t="s">
        <v>179</v>
      </c>
      <c r="G66" s="9" t="s">
        <v>581</v>
      </c>
      <c r="H66" s="9" t="s">
        <v>582</v>
      </c>
      <c r="I66" s="9" t="s">
        <v>180</v>
      </c>
      <c r="J66" s="9" t="s">
        <v>181</v>
      </c>
      <c r="K66" s="9" t="s">
        <v>182</v>
      </c>
      <c r="L66" s="9" t="s">
        <v>184</v>
      </c>
      <c r="M66" s="9"/>
      <c r="N66" s="9"/>
      <c r="DG66"/>
      <c r="DH66"/>
      <c r="DI66"/>
      <c r="DJ66"/>
      <c r="DK66"/>
    </row>
    <row r="67" spans="1:115" s="1" customFormat="1" x14ac:dyDescent="0.2">
      <c r="D67" s="9" t="s">
        <v>188</v>
      </c>
      <c r="E67" s="9" t="s">
        <v>189</v>
      </c>
      <c r="F67" s="9"/>
      <c r="G67" s="9"/>
      <c r="H67" s="9"/>
      <c r="I67" s="9" t="s">
        <v>190</v>
      </c>
      <c r="J67" s="9" t="s">
        <v>190</v>
      </c>
      <c r="K67" s="9" t="s">
        <v>191</v>
      </c>
      <c r="L67" s="9" t="s">
        <v>192</v>
      </c>
      <c r="M67" s="9"/>
      <c r="N67" s="9"/>
      <c r="DG67"/>
      <c r="DH67"/>
      <c r="DI67"/>
      <c r="DJ67"/>
      <c r="DK67"/>
    </row>
    <row r="68" spans="1:115" x14ac:dyDescent="0.2">
      <c r="A68" s="5" t="s">
        <v>595</v>
      </c>
      <c r="C68" s="18" t="s">
        <v>631</v>
      </c>
      <c r="E68" s="2">
        <f>SUM(F68:N68)</f>
        <v>780637.08000000007</v>
      </c>
      <c r="F68" s="2">
        <f>39316*(B$6+1)*12</f>
        <v>504817.44000000006</v>
      </c>
      <c r="G68" s="2">
        <f>1739*12</f>
        <v>20868</v>
      </c>
      <c r="H68" s="2">
        <v>0</v>
      </c>
      <c r="I68" s="2">
        <f>2000*12</f>
        <v>24000</v>
      </c>
      <c r="J68" s="2">
        <f t="shared" ref="J68" si="38">3871*(B$7+1)*12</f>
        <v>49703.64</v>
      </c>
      <c r="K68" s="2">
        <f t="shared" si="8"/>
        <v>8400</v>
      </c>
      <c r="L68" s="2">
        <f>14404*12</f>
        <v>172848</v>
      </c>
      <c r="M68" s="2"/>
      <c r="N68" s="2"/>
    </row>
    <row r="69" spans="1:115" s="1" customFormat="1" x14ac:dyDescent="0.2">
      <c r="A69" s="5" t="s">
        <v>329</v>
      </c>
      <c r="E69" s="2">
        <f>SUM(F69:N69)</f>
        <v>0</v>
      </c>
      <c r="F69" s="2"/>
      <c r="G69" s="2"/>
      <c r="H69" s="2"/>
      <c r="I69" s="2"/>
      <c r="J69" s="2"/>
      <c r="K69" s="2"/>
      <c r="L69" s="2"/>
      <c r="M69" s="2"/>
      <c r="N69" s="2"/>
      <c r="DG69"/>
      <c r="DH69"/>
      <c r="DI69"/>
      <c r="DJ69"/>
      <c r="DK69"/>
    </row>
    <row r="70" spans="1:115" s="1" customFormat="1" x14ac:dyDescent="0.2">
      <c r="E70" s="2"/>
      <c r="F70" s="2"/>
      <c r="G70" s="2"/>
      <c r="H70" s="2"/>
      <c r="I70" s="2"/>
      <c r="J70" s="2"/>
      <c r="K70" s="2"/>
      <c r="L70" s="2"/>
      <c r="M70" s="2"/>
      <c r="N70" s="2"/>
      <c r="DG70"/>
      <c r="DH70"/>
      <c r="DI70"/>
      <c r="DJ70"/>
      <c r="DK70"/>
    </row>
    <row r="71" spans="1:115" s="1" customFormat="1" ht="13.5" thickBot="1" x14ac:dyDescent="0.25">
      <c r="E71" s="10">
        <f>SUM(E68:E70)</f>
        <v>780637.08000000007</v>
      </c>
      <c r="F71" s="10">
        <f>SUM(F68:F70)</f>
        <v>504817.44000000006</v>
      </c>
      <c r="G71" s="10">
        <f t="shared" ref="G71:H71" si="39">SUM(G68:G70)</f>
        <v>20868</v>
      </c>
      <c r="H71" s="10">
        <f t="shared" si="39"/>
        <v>0</v>
      </c>
      <c r="I71" s="10">
        <f>SUM(I68:I70)</f>
        <v>24000</v>
      </c>
      <c r="J71" s="10">
        <f>SUM(J68:J70)</f>
        <v>49703.64</v>
      </c>
      <c r="K71" s="10">
        <f>SUM(K68:K70)</f>
        <v>8400</v>
      </c>
      <c r="L71" s="10">
        <f>SUM(L68:L70)</f>
        <v>172848</v>
      </c>
      <c r="M71" s="10">
        <f>SUM(M68:M70)</f>
        <v>0</v>
      </c>
      <c r="N71" s="11"/>
      <c r="DG71"/>
      <c r="DH71"/>
      <c r="DI71"/>
      <c r="DJ71"/>
      <c r="DK71"/>
    </row>
    <row r="72" spans="1:115" s="1" customFormat="1" ht="13.5" thickTop="1" x14ac:dyDescent="0.2">
      <c r="C72" s="1" t="s">
        <v>199</v>
      </c>
      <c r="D72" s="1">
        <f>COUNT(D68:D71)</f>
        <v>0</v>
      </c>
      <c r="DG72"/>
      <c r="DH72"/>
      <c r="DI72"/>
      <c r="DJ72"/>
      <c r="DK72"/>
    </row>
    <row r="73" spans="1:115" s="1" customFormat="1" x14ac:dyDescent="0.2">
      <c r="A73" s="16" t="s">
        <v>135</v>
      </c>
      <c r="DG73"/>
      <c r="DH73"/>
      <c r="DI73"/>
      <c r="DJ73"/>
      <c r="DK73"/>
    </row>
    <row r="74" spans="1:115" s="1" customFormat="1" x14ac:dyDescent="0.2">
      <c r="C74" s="1" t="s">
        <v>176</v>
      </c>
      <c r="D74" s="9" t="s">
        <v>177</v>
      </c>
      <c r="E74" s="9" t="s">
        <v>178</v>
      </c>
      <c r="F74" s="9" t="s">
        <v>179</v>
      </c>
      <c r="G74" s="9"/>
      <c r="H74" s="9"/>
      <c r="I74" s="9" t="s">
        <v>180</v>
      </c>
      <c r="J74" s="9" t="s">
        <v>181</v>
      </c>
      <c r="K74" s="9" t="s">
        <v>182</v>
      </c>
      <c r="L74" s="9" t="s">
        <v>184</v>
      </c>
      <c r="M74" s="9"/>
      <c r="N74" s="9"/>
      <c r="DG74"/>
      <c r="DH74"/>
      <c r="DI74"/>
      <c r="DJ74"/>
      <c r="DK74"/>
    </row>
    <row r="75" spans="1:115" s="1" customFormat="1" x14ac:dyDescent="0.2">
      <c r="D75" s="9" t="s">
        <v>188</v>
      </c>
      <c r="E75" s="9" t="s">
        <v>189</v>
      </c>
      <c r="F75" s="9"/>
      <c r="G75" s="9"/>
      <c r="H75" s="9"/>
      <c r="I75" s="9" t="s">
        <v>190</v>
      </c>
      <c r="J75" s="9" t="s">
        <v>190</v>
      </c>
      <c r="K75" s="9" t="s">
        <v>191</v>
      </c>
      <c r="L75" s="9" t="s">
        <v>192</v>
      </c>
      <c r="M75" s="9"/>
      <c r="N75" s="9"/>
      <c r="DG75"/>
      <c r="DH75"/>
      <c r="DI75"/>
      <c r="DJ75"/>
      <c r="DK75"/>
    </row>
    <row r="76" spans="1:115" s="1" customFormat="1" x14ac:dyDescent="0.2">
      <c r="A76" s="5" t="s">
        <v>632</v>
      </c>
      <c r="C76" s="18" t="s">
        <v>625</v>
      </c>
      <c r="E76" s="2">
        <f t="shared" ref="E76:E82" si="40">SUM(F76:N76)</f>
        <v>770885.4</v>
      </c>
      <c r="F76" s="2">
        <f>39364*(B$6+1)*12</f>
        <v>505433.76</v>
      </c>
      <c r="G76" s="2">
        <f t="shared" ref="G76:G82" si="41">1739*12</f>
        <v>20868</v>
      </c>
      <c r="H76" s="2">
        <v>0</v>
      </c>
      <c r="I76" s="2">
        <f>1136*12</f>
        <v>13632</v>
      </c>
      <c r="J76" s="2">
        <f t="shared" ref="J76:J78" si="42">3871*(B$7+1)*12</f>
        <v>49703.64</v>
      </c>
      <c r="K76" s="2">
        <f t="shared" ref="K76:K78" si="43">700*12</f>
        <v>8400</v>
      </c>
      <c r="L76" s="2">
        <f>14404*12</f>
        <v>172848</v>
      </c>
      <c r="M76" s="2"/>
      <c r="N76" s="2"/>
      <c r="DG76"/>
      <c r="DH76"/>
      <c r="DI76"/>
      <c r="DJ76"/>
      <c r="DK76"/>
    </row>
    <row r="77" spans="1:115" s="1" customFormat="1" x14ac:dyDescent="0.2">
      <c r="A77" s="5" t="s">
        <v>633</v>
      </c>
      <c r="C77" s="18" t="s">
        <v>627</v>
      </c>
      <c r="E77" s="2">
        <f t="shared" si="40"/>
        <v>761972.76</v>
      </c>
      <c r="F77" s="2">
        <f>37468*(B$6+1)*12</f>
        <v>481089.12</v>
      </c>
      <c r="G77" s="2">
        <f t="shared" si="41"/>
        <v>20868</v>
      </c>
      <c r="H77" s="2">
        <v>0</v>
      </c>
      <c r="I77" s="2">
        <f>2422*12</f>
        <v>29064</v>
      </c>
      <c r="J77" s="2">
        <f t="shared" si="42"/>
        <v>49703.64</v>
      </c>
      <c r="K77" s="2">
        <f t="shared" si="43"/>
        <v>8400</v>
      </c>
      <c r="L77" s="2">
        <f>14404*12</f>
        <v>172848</v>
      </c>
      <c r="M77" s="2"/>
      <c r="N77" s="2"/>
      <c r="DG77"/>
      <c r="DH77"/>
      <c r="DI77"/>
      <c r="DJ77"/>
      <c r="DK77"/>
    </row>
    <row r="78" spans="1:115" s="1" customFormat="1" x14ac:dyDescent="0.2">
      <c r="A78" s="5" t="s">
        <v>634</v>
      </c>
      <c r="C78" s="18" t="s">
        <v>630</v>
      </c>
      <c r="E78" s="2">
        <f t="shared" si="40"/>
        <v>763498.56</v>
      </c>
      <c r="F78" s="2">
        <f>35313*(B$6+1)*12</f>
        <v>453418.92000000004</v>
      </c>
      <c r="G78" s="2">
        <f t="shared" si="41"/>
        <v>20868</v>
      </c>
      <c r="H78" s="2">
        <v>0</v>
      </c>
      <c r="I78" s="2">
        <f>4855*12</f>
        <v>58260</v>
      </c>
      <c r="J78" s="2">
        <f t="shared" si="42"/>
        <v>49703.64</v>
      </c>
      <c r="K78" s="2">
        <f t="shared" si="43"/>
        <v>8400</v>
      </c>
      <c r="L78" s="2">
        <f>14404*12</f>
        <v>172848</v>
      </c>
      <c r="M78" s="2"/>
      <c r="N78" s="2"/>
      <c r="DG78"/>
      <c r="DH78"/>
      <c r="DI78"/>
      <c r="DJ78"/>
      <c r="DK78"/>
    </row>
    <row r="79" spans="1:115" s="1" customFormat="1" x14ac:dyDescent="0.2">
      <c r="A79" s="5" t="s">
        <v>635</v>
      </c>
      <c r="C79" s="18" t="s">
        <v>628</v>
      </c>
      <c r="E79" s="2">
        <f t="shared" si="40"/>
        <v>756530.52000000014</v>
      </c>
      <c r="F79" s="2">
        <f>34832*(B$6+1)*12</f>
        <v>447242.88000000006</v>
      </c>
      <c r="G79" s="2">
        <f t="shared" si="41"/>
        <v>20868</v>
      </c>
      <c r="H79" s="2">
        <v>0</v>
      </c>
      <c r="I79" s="2">
        <f>4789*12</f>
        <v>57468</v>
      </c>
      <c r="J79" s="2">
        <f t="shared" ref="J79" si="44">3871*(B$7+1)*12</f>
        <v>49703.64</v>
      </c>
      <c r="K79" s="2">
        <f t="shared" ref="K79" si="45">700*12</f>
        <v>8400</v>
      </c>
      <c r="L79" s="2">
        <f>14404*12</f>
        <v>172848</v>
      </c>
      <c r="M79" s="2"/>
      <c r="N79" s="2"/>
    </row>
    <row r="80" spans="1:115" s="111" customFormat="1" x14ac:dyDescent="0.2">
      <c r="A80" s="5" t="s">
        <v>636</v>
      </c>
      <c r="B80" s="5"/>
      <c r="C80" s="18" t="s">
        <v>623</v>
      </c>
      <c r="D80" s="1"/>
      <c r="E80" s="2">
        <f t="shared" si="40"/>
        <v>813326.64</v>
      </c>
      <c r="F80" s="2">
        <f>41675*(B$6+1)*12</f>
        <v>535107</v>
      </c>
      <c r="G80" s="2">
        <f t="shared" si="41"/>
        <v>20868</v>
      </c>
      <c r="H80" s="2">
        <v>0</v>
      </c>
      <c r="I80" s="2">
        <f>2200*12</f>
        <v>26400</v>
      </c>
      <c r="J80" s="2">
        <f t="shared" ref="J80" si="46">3871*(B$7+1)*12</f>
        <v>49703.64</v>
      </c>
      <c r="K80" s="2">
        <f t="shared" ref="K80" si="47">700*12</f>
        <v>8400</v>
      </c>
      <c r="L80" s="2">
        <f>14404*12</f>
        <v>172848</v>
      </c>
      <c r="M80" s="20"/>
      <c r="N80" s="112"/>
    </row>
    <row r="81" spans="1:115" s="111" customFormat="1" x14ac:dyDescent="0.2">
      <c r="A81" s="5" t="s">
        <v>637</v>
      </c>
      <c r="B81" s="5"/>
      <c r="C81" s="18" t="s">
        <v>629</v>
      </c>
      <c r="D81" s="1"/>
      <c r="E81" s="2">
        <f t="shared" si="40"/>
        <v>735141.24000000011</v>
      </c>
      <c r="F81" s="2">
        <f>35840*(B$6+1)*12</f>
        <v>460185.60000000003</v>
      </c>
      <c r="G81" s="2">
        <f t="shared" si="41"/>
        <v>20868</v>
      </c>
      <c r="H81" s="2">
        <v>0</v>
      </c>
      <c r="I81" s="2">
        <f>4928*12</f>
        <v>59136</v>
      </c>
      <c r="J81" s="2">
        <f t="shared" ref="J81" si="48">3871*(B$7+1)*12</f>
        <v>49703.64</v>
      </c>
      <c r="K81" s="2">
        <f t="shared" ref="K81" si="49">700*12</f>
        <v>8400</v>
      </c>
      <c r="L81" s="2">
        <f>11404*12</f>
        <v>136848</v>
      </c>
      <c r="M81" s="20"/>
      <c r="N81" s="112"/>
    </row>
    <row r="82" spans="1:115" s="1" customFormat="1" x14ac:dyDescent="0.2">
      <c r="A82" s="5" t="s">
        <v>638</v>
      </c>
      <c r="C82" s="18" t="s">
        <v>624</v>
      </c>
      <c r="E82" s="2">
        <f t="shared" si="40"/>
        <v>751086.72000000009</v>
      </c>
      <c r="F82" s="2">
        <f>37937*(B$6+1)*12</f>
        <v>487111.08000000007</v>
      </c>
      <c r="G82" s="2">
        <f t="shared" si="41"/>
        <v>20868</v>
      </c>
      <c r="H82" s="2">
        <v>0</v>
      </c>
      <c r="I82" s="2">
        <f>1013*12</f>
        <v>12156</v>
      </c>
      <c r="J82" s="2">
        <f t="shared" ref="J82" si="50">3871*(B$7+1)*12</f>
        <v>49703.64</v>
      </c>
      <c r="K82" s="2">
        <f t="shared" ref="K82" si="51">700*12</f>
        <v>8400</v>
      </c>
      <c r="L82" s="2">
        <f>14404*12</f>
        <v>172848</v>
      </c>
      <c r="M82" s="2"/>
      <c r="N82" s="2"/>
      <c r="DG82"/>
      <c r="DH82"/>
      <c r="DI82"/>
      <c r="DJ82"/>
      <c r="DK82"/>
    </row>
    <row r="83" spans="1:115" s="1" customFormat="1" x14ac:dyDescent="0.2">
      <c r="A83" s="5"/>
      <c r="C83" s="22"/>
      <c r="E83" s="2"/>
      <c r="F83" s="2"/>
      <c r="G83" s="2"/>
      <c r="H83" s="2"/>
      <c r="I83" s="2"/>
      <c r="J83" s="2"/>
      <c r="K83" s="2"/>
      <c r="L83" s="2"/>
      <c r="M83" s="2"/>
      <c r="N83" s="2"/>
      <c r="DG83"/>
      <c r="DH83"/>
      <c r="DI83"/>
      <c r="DJ83"/>
      <c r="DK83"/>
    </row>
    <row r="84" spans="1:115" s="1" customFormat="1" x14ac:dyDescent="0.2">
      <c r="A84" s="5"/>
      <c r="C84" s="5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15" s="1" customFormat="1" ht="13.5" thickBot="1" x14ac:dyDescent="0.25">
      <c r="E85" s="10">
        <f t="shared" ref="E85:M85" si="52">SUM(E76:E84)</f>
        <v>5352441.84</v>
      </c>
      <c r="F85" s="10">
        <f t="shared" si="52"/>
        <v>3369588.3600000003</v>
      </c>
      <c r="G85" s="10">
        <f t="shared" si="52"/>
        <v>146076</v>
      </c>
      <c r="H85" s="10">
        <f t="shared" si="52"/>
        <v>0</v>
      </c>
      <c r="I85" s="10">
        <f t="shared" si="52"/>
        <v>256116</v>
      </c>
      <c r="J85" s="10">
        <f t="shared" si="52"/>
        <v>347925.48000000004</v>
      </c>
      <c r="K85" s="10">
        <f t="shared" si="52"/>
        <v>58800</v>
      </c>
      <c r="L85" s="10">
        <f t="shared" si="52"/>
        <v>1173936</v>
      </c>
      <c r="M85" s="10">
        <f t="shared" si="52"/>
        <v>0</v>
      </c>
      <c r="N85" s="10"/>
      <c r="DG85"/>
      <c r="DH85"/>
      <c r="DI85"/>
      <c r="DJ85"/>
      <c r="DK85"/>
    </row>
    <row r="86" spans="1:115" s="1" customFormat="1" ht="13.5" thickTop="1" x14ac:dyDescent="0.2">
      <c r="C86" s="1" t="s">
        <v>199</v>
      </c>
      <c r="D86" s="1">
        <f>COUNT(D76:D85)</f>
        <v>0</v>
      </c>
      <c r="DG86"/>
      <c r="DH86"/>
      <c r="DI86"/>
      <c r="DJ86"/>
      <c r="DK86"/>
    </row>
    <row r="87" spans="1:115" s="1" customFormat="1" x14ac:dyDescent="0.2">
      <c r="E87" s="11"/>
      <c r="F87" s="11"/>
      <c r="G87" s="11"/>
      <c r="H87" s="11"/>
      <c r="I87" s="11"/>
      <c r="J87" s="11"/>
      <c r="K87" s="11"/>
      <c r="L87" s="11"/>
      <c r="M87" s="11"/>
      <c r="N87" s="11"/>
      <c r="DG87"/>
      <c r="DH87"/>
      <c r="DI87"/>
      <c r="DJ87"/>
      <c r="DK87"/>
    </row>
    <row r="88" spans="1:115" s="1" customFormat="1" ht="13.5" thickBot="1" x14ac:dyDescent="0.25">
      <c r="C88" s="22"/>
      <c r="E88" s="10"/>
      <c r="F88" s="10"/>
      <c r="G88" s="10"/>
      <c r="H88" s="10"/>
      <c r="I88" s="10"/>
      <c r="J88" s="10"/>
      <c r="K88" s="10"/>
      <c r="L88" s="10"/>
      <c r="M88" s="10"/>
      <c r="N88" s="10"/>
      <c r="DG88"/>
      <c r="DH88"/>
      <c r="DI88"/>
      <c r="DJ88"/>
      <c r="DK88"/>
    </row>
    <row r="89" spans="1:115" s="1" customFormat="1" ht="13.5" thickTop="1" x14ac:dyDescent="0.2">
      <c r="A89" s="1" t="s">
        <v>200</v>
      </c>
      <c r="C89" s="2"/>
      <c r="D89" s="115" t="s">
        <v>443</v>
      </c>
      <c r="E89" s="2"/>
      <c r="F89" s="2"/>
      <c r="G89" s="2"/>
      <c r="H89" s="2"/>
      <c r="I89" s="2"/>
      <c r="J89" s="2"/>
      <c r="K89" s="2"/>
      <c r="L89" s="2"/>
      <c r="M89" s="2"/>
      <c r="N89" s="2"/>
      <c r="DG89"/>
      <c r="DH89"/>
      <c r="DI89"/>
      <c r="DJ89"/>
      <c r="DK89"/>
    </row>
    <row r="90" spans="1:115" s="1" customFormat="1" x14ac:dyDescent="0.2">
      <c r="E90" s="2"/>
      <c r="F90" s="2"/>
      <c r="G90" s="2"/>
      <c r="H90" s="2"/>
      <c r="I90" s="2"/>
      <c r="J90" s="2"/>
      <c r="K90" s="2"/>
      <c r="L90" s="2"/>
      <c r="M90" s="2"/>
      <c r="N90" s="2"/>
      <c r="DG90"/>
      <c r="DH90"/>
      <c r="DI90"/>
      <c r="DJ90"/>
      <c r="DK90"/>
    </row>
    <row r="91" spans="1:115" s="1" customFormat="1" x14ac:dyDescent="0.2">
      <c r="A91" s="1" t="s">
        <v>24</v>
      </c>
      <c r="C91" s="12"/>
      <c r="E91" s="2">
        <f>E18+E63+E71+E85</f>
        <v>15250155.400000008</v>
      </c>
      <c r="F91" s="2">
        <f t="shared" ref="F91:N91" si="53">F18+F63+F71+F85</f>
        <v>8938052.4000000022</v>
      </c>
      <c r="G91" s="2">
        <f t="shared" si="53"/>
        <v>229548</v>
      </c>
      <c r="H91" s="2">
        <f t="shared" si="53"/>
        <v>292152</v>
      </c>
      <c r="I91" s="2">
        <f t="shared" si="53"/>
        <v>893532</v>
      </c>
      <c r="J91" s="2">
        <f t="shared" si="53"/>
        <v>1242591.0000000002</v>
      </c>
      <c r="K91" s="2">
        <f t="shared" si="53"/>
        <v>210000</v>
      </c>
      <c r="L91" s="2">
        <f t="shared" si="53"/>
        <v>2873892</v>
      </c>
      <c r="M91" s="2">
        <f t="shared" si="53"/>
        <v>570388</v>
      </c>
      <c r="N91" s="2">
        <f t="shared" si="53"/>
        <v>0</v>
      </c>
      <c r="DG91"/>
      <c r="DH91"/>
      <c r="DI91"/>
      <c r="DJ91"/>
      <c r="DK91"/>
    </row>
    <row r="92" spans="1:115" s="1" customFormat="1" x14ac:dyDescent="0.2">
      <c r="A92" s="1" t="s">
        <v>201</v>
      </c>
      <c r="E92" s="2">
        <f>'OPERATING BUDGET'!C45</f>
        <v>15250155.400000002</v>
      </c>
      <c r="F92" s="2">
        <f>'OPERATING BUDGET'!C34</f>
        <v>8938052.4000000022</v>
      </c>
      <c r="G92" s="2">
        <f>'OPERATING BUDGET'!C39</f>
        <v>229548</v>
      </c>
      <c r="H92" s="2">
        <f>'OPERATING BUDGET'!C41</f>
        <v>292152</v>
      </c>
      <c r="I92" s="2">
        <f>'OPERATING BUDGET'!C40</f>
        <v>893532</v>
      </c>
      <c r="J92" s="2">
        <f>'OPERATING BUDGET'!C43</f>
        <v>1242591.0000000002</v>
      </c>
      <c r="K92" s="2">
        <f>'OPERATING BUDGET'!C35</f>
        <v>210000</v>
      </c>
      <c r="L92" s="2">
        <f>'OPERATING BUDGET'!C37</f>
        <v>2873892</v>
      </c>
      <c r="M92" s="2">
        <f>'OPERATING BUDGET'!C42</f>
        <v>570388</v>
      </c>
      <c r="N92" s="2"/>
      <c r="DG92"/>
      <c r="DH92"/>
      <c r="DI92"/>
      <c r="DJ92"/>
      <c r="DK92"/>
    </row>
    <row r="93" spans="1:115" s="1" customFormat="1" ht="13.5" thickBot="1" x14ac:dyDescent="0.25">
      <c r="A93" s="1" t="s">
        <v>202</v>
      </c>
      <c r="E93" s="13">
        <f t="shared" ref="E93:M93" si="54">E91-E92</f>
        <v>0</v>
      </c>
      <c r="F93" s="13">
        <f t="shared" si="54"/>
        <v>0</v>
      </c>
      <c r="G93" s="13">
        <f t="shared" si="54"/>
        <v>0</v>
      </c>
      <c r="H93" s="13">
        <f t="shared" si="54"/>
        <v>0</v>
      </c>
      <c r="I93" s="13">
        <f t="shared" si="54"/>
        <v>0</v>
      </c>
      <c r="J93" s="13">
        <f t="shared" si="54"/>
        <v>0</v>
      </c>
      <c r="K93" s="13">
        <f t="shared" si="54"/>
        <v>0</v>
      </c>
      <c r="L93" s="13">
        <f t="shared" si="54"/>
        <v>0</v>
      </c>
      <c r="M93" s="13">
        <f t="shared" si="54"/>
        <v>0</v>
      </c>
      <c r="N93" s="19"/>
      <c r="DG93"/>
      <c r="DH93"/>
      <c r="DI93"/>
      <c r="DJ93"/>
      <c r="DK93"/>
    </row>
    <row r="94" spans="1:115" s="1" customFormat="1" x14ac:dyDescent="0.2">
      <c r="A94" s="1" t="s">
        <v>201</v>
      </c>
      <c r="DG94"/>
      <c r="DH94"/>
      <c r="DI94"/>
      <c r="DJ94"/>
      <c r="DK94"/>
    </row>
    <row r="95" spans="1:115" s="1" customFormat="1" x14ac:dyDescent="0.2">
      <c r="F95" s="2">
        <f>'OPERATING BUDGET'!C18</f>
        <v>0</v>
      </c>
      <c r="G95" s="2"/>
      <c r="H95" s="2"/>
      <c r="DG95"/>
      <c r="DH95"/>
      <c r="DI95"/>
      <c r="DJ95"/>
      <c r="DK95"/>
    </row>
    <row r="96" spans="1:115" s="1" customFormat="1" x14ac:dyDescent="0.2">
      <c r="E96" s="12"/>
      <c r="F96" s="12"/>
      <c r="G96" s="12"/>
      <c r="H96" s="12"/>
      <c r="I96" s="12"/>
      <c r="J96" s="12"/>
      <c r="K96" s="12"/>
      <c r="L96" s="12"/>
      <c r="M96" s="12"/>
      <c r="N96" s="12"/>
      <c r="DG96"/>
      <c r="DH96"/>
      <c r="DI96"/>
      <c r="DJ96"/>
      <c r="DK96"/>
    </row>
    <row r="98" spans="5:115" s="1" customFormat="1" x14ac:dyDescent="0.2">
      <c r="E98" s="12"/>
      <c r="F98" s="12"/>
      <c r="G98" s="12"/>
      <c r="H98" s="12"/>
      <c r="I98" s="12"/>
      <c r="J98" s="12"/>
      <c r="K98" s="12"/>
      <c r="L98" s="12"/>
      <c r="M98" s="12"/>
      <c r="N98" s="12"/>
      <c r="DG98"/>
      <c r="DH98"/>
      <c r="DI98"/>
      <c r="DJ98"/>
      <c r="DK98"/>
    </row>
  </sheetData>
  <pageMargins left="0.75" right="0.75" top="1" bottom="1" header="0.5" footer="0.5"/>
  <pageSetup scale="40" fitToHeight="17" orientation="landscape" r:id="rId1"/>
  <headerFooter alignWithMargins="0">
    <oddFooter>Page &amp;P of &amp;N</oddFooter>
  </headerFooter>
  <rowBreaks count="1" manualBreakCount="1"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DH358"/>
  <sheetViews>
    <sheetView view="pageBreakPreview" topLeftCell="A307" zoomScale="70" zoomScaleNormal="65" zoomScaleSheetLayoutView="70" workbookViewId="0">
      <selection activeCell="P310" sqref="P310"/>
    </sheetView>
  </sheetViews>
  <sheetFormatPr defaultRowHeight="12.75" x14ac:dyDescent="0.2"/>
  <cols>
    <col min="1" max="1" width="62.5703125" style="184" customWidth="1"/>
    <col min="2" max="2" width="7.42578125" style="184" bestFit="1" customWidth="1"/>
    <col min="3" max="3" width="16.85546875" style="184" customWidth="1"/>
    <col min="4" max="4" width="8.85546875" style="184" customWidth="1"/>
    <col min="5" max="12" width="14.7109375" style="184" customWidth="1"/>
    <col min="13" max="13" width="15.85546875" style="184" customWidth="1"/>
    <col min="14" max="15" width="14.7109375" style="184" customWidth="1"/>
    <col min="16" max="16" width="13" style="185" customWidth="1"/>
    <col min="17" max="112" width="9.140625" style="184"/>
    <col min="113" max="16384" width="9.140625" style="186"/>
  </cols>
  <sheetData>
    <row r="1" spans="1:16" ht="20.25" x14ac:dyDescent="0.3">
      <c r="A1" s="183"/>
    </row>
    <row r="2" spans="1:16" ht="20.25" x14ac:dyDescent="0.3">
      <c r="A2" s="187"/>
    </row>
    <row r="3" spans="1:16" ht="27.75" x14ac:dyDescent="0.4">
      <c r="A3" s="188" t="s">
        <v>171</v>
      </c>
      <c r="F3" s="187"/>
      <c r="G3" s="187"/>
    </row>
    <row r="4" spans="1:16" ht="20.25" x14ac:dyDescent="0.3">
      <c r="A4" s="183" t="s">
        <v>533</v>
      </c>
      <c r="G4" s="189">
        <f ca="1">NOW()</f>
        <v>43011.405967361112</v>
      </c>
    </row>
    <row r="5" spans="1:16" x14ac:dyDescent="0.2">
      <c r="G5" s="190">
        <f ca="1">NOW()</f>
        <v>43011.405967361112</v>
      </c>
    </row>
    <row r="6" spans="1:16" x14ac:dyDescent="0.2">
      <c r="A6" s="184" t="s">
        <v>173</v>
      </c>
      <c r="B6" s="191">
        <v>7.0000000000000007E-2</v>
      </c>
      <c r="C6" s="184" t="s">
        <v>174</v>
      </c>
    </row>
    <row r="7" spans="1:16" x14ac:dyDescent="0.2">
      <c r="A7" s="184" t="s">
        <v>175</v>
      </c>
      <c r="B7" s="191">
        <v>7.0000000000000007E-2</v>
      </c>
      <c r="C7" s="184" t="s">
        <v>174</v>
      </c>
    </row>
    <row r="12" spans="1:16" x14ac:dyDescent="0.2">
      <c r="A12" s="192" t="s">
        <v>130</v>
      </c>
    </row>
    <row r="13" spans="1:16" x14ac:dyDescent="0.2">
      <c r="C13" s="184" t="s">
        <v>176</v>
      </c>
      <c r="D13" s="193" t="s">
        <v>177</v>
      </c>
      <c r="E13" s="193" t="s">
        <v>178</v>
      </c>
      <c r="F13" s="193" t="s">
        <v>179</v>
      </c>
      <c r="G13" s="193" t="s">
        <v>180</v>
      </c>
      <c r="H13" s="193" t="s">
        <v>181</v>
      </c>
      <c r="I13" s="193" t="s">
        <v>182</v>
      </c>
      <c r="J13" s="193" t="s">
        <v>183</v>
      </c>
      <c r="K13" s="193" t="s">
        <v>184</v>
      </c>
      <c r="L13" s="193" t="s">
        <v>185</v>
      </c>
      <c r="M13" s="193" t="s">
        <v>186</v>
      </c>
      <c r="N13" s="193" t="s">
        <v>187</v>
      </c>
      <c r="O13" s="193"/>
      <c r="P13" s="194" t="s">
        <v>164</v>
      </c>
    </row>
    <row r="14" spans="1:16" x14ac:dyDescent="0.2">
      <c r="A14" s="195"/>
      <c r="D14" s="193" t="s">
        <v>188</v>
      </c>
      <c r="E14" s="193" t="s">
        <v>189</v>
      </c>
      <c r="F14" s="193"/>
      <c r="G14" s="193" t="s">
        <v>190</v>
      </c>
      <c r="H14" s="193" t="s">
        <v>190</v>
      </c>
      <c r="I14" s="193" t="s">
        <v>191</v>
      </c>
      <c r="J14" s="193"/>
      <c r="K14" s="193" t="s">
        <v>192</v>
      </c>
      <c r="L14" s="193" t="s">
        <v>193</v>
      </c>
      <c r="M14" s="193" t="s">
        <v>194</v>
      </c>
      <c r="N14" s="193" t="s">
        <v>195</v>
      </c>
      <c r="O14" s="193"/>
    </row>
    <row r="15" spans="1:16" s="196" customFormat="1" x14ac:dyDescent="0.2">
      <c r="A15" s="195" t="s">
        <v>674</v>
      </c>
      <c r="C15" s="197" t="s">
        <v>535</v>
      </c>
      <c r="D15" s="196">
        <v>2</v>
      </c>
      <c r="E15" s="185">
        <f>SUM(F15:P15)</f>
        <v>1011804.6731000001</v>
      </c>
      <c r="F15" s="185">
        <f>47129*(B$6+1)*12</f>
        <v>605136.3600000001</v>
      </c>
      <c r="G15" s="185">
        <f t="shared" ref="G15:G16" si="0">F15*0.22</f>
        <v>133129.99920000002</v>
      </c>
      <c r="H15" s="185">
        <f>3871*(B$7+1)*12</f>
        <v>49703.64</v>
      </c>
      <c r="I15" s="185">
        <f>700*12</f>
        <v>8400</v>
      </c>
      <c r="J15" s="198">
        <v>1926</v>
      </c>
      <c r="K15" s="194">
        <f>12900*12</f>
        <v>154800</v>
      </c>
      <c r="L15" s="185">
        <v>93</v>
      </c>
      <c r="M15" s="185">
        <f t="shared" ref="M15:M16" si="1">(N15+I15+K15+F15)*0.01</f>
        <v>8187.6439000000018</v>
      </c>
      <c r="N15" s="185">
        <f t="shared" ref="N15:N16" si="2">F15/12</f>
        <v>50428.030000000006</v>
      </c>
      <c r="O15" s="185"/>
      <c r="P15" s="199"/>
    </row>
    <row r="16" spans="1:16" x14ac:dyDescent="0.2">
      <c r="A16" s="195" t="s">
        <v>675</v>
      </c>
      <c r="C16" s="184" t="s">
        <v>526</v>
      </c>
      <c r="D16" s="184">
        <v>5</v>
      </c>
      <c r="E16" s="185">
        <f t="shared" ref="E16:E19" si="3">SUM(F16:P16)</f>
        <v>596779.78610000003</v>
      </c>
      <c r="F16" s="185">
        <f>31799*(B$6+1)*12</f>
        <v>408299.16000000003</v>
      </c>
      <c r="G16" s="185">
        <f t="shared" si="0"/>
        <v>89825.815200000012</v>
      </c>
      <c r="H16" s="185">
        <f>3871*(B$7+1)*12</f>
        <v>49703.64</v>
      </c>
      <c r="I16" s="185">
        <f>700*12</f>
        <v>8400</v>
      </c>
      <c r="J16" s="198">
        <v>1926</v>
      </c>
      <c r="K16" s="185">
        <v>0</v>
      </c>
      <c r="L16" s="185">
        <v>93</v>
      </c>
      <c r="M16" s="185">
        <f t="shared" si="1"/>
        <v>4507.2409000000007</v>
      </c>
      <c r="N16" s="185">
        <f t="shared" si="2"/>
        <v>34024.93</v>
      </c>
      <c r="O16" s="185"/>
    </row>
    <row r="17" spans="1:112" s="203" customFormat="1" x14ac:dyDescent="0.2">
      <c r="A17" s="200" t="s">
        <v>676</v>
      </c>
      <c r="B17" s="200"/>
      <c r="C17" s="200" t="s">
        <v>34</v>
      </c>
      <c r="D17" s="200">
        <v>5</v>
      </c>
      <c r="E17" s="201"/>
      <c r="F17" s="201"/>
      <c r="G17" s="201"/>
      <c r="H17" s="201"/>
      <c r="I17" s="201"/>
      <c r="J17" s="202"/>
      <c r="K17" s="201"/>
      <c r="L17" s="201"/>
      <c r="M17" s="201"/>
      <c r="N17" s="201"/>
      <c r="O17" s="201"/>
      <c r="P17" s="201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</row>
    <row r="18" spans="1:112" s="203" customFormat="1" x14ac:dyDescent="0.2">
      <c r="A18" s="200" t="s">
        <v>677</v>
      </c>
      <c r="B18" s="200"/>
      <c r="C18" s="200" t="s">
        <v>34</v>
      </c>
      <c r="D18" s="200">
        <v>8</v>
      </c>
      <c r="E18" s="201"/>
      <c r="F18" s="201"/>
      <c r="G18" s="201"/>
      <c r="H18" s="201"/>
      <c r="I18" s="201"/>
      <c r="J18" s="202"/>
      <c r="K18" s="201"/>
      <c r="L18" s="201"/>
      <c r="M18" s="201"/>
      <c r="N18" s="201"/>
      <c r="O18" s="201"/>
      <c r="P18" s="201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</row>
    <row r="19" spans="1:112" s="204" customFormat="1" x14ac:dyDescent="0.2">
      <c r="A19" s="184" t="s">
        <v>329</v>
      </c>
      <c r="B19" s="184"/>
      <c r="C19" s="184"/>
      <c r="D19" s="184"/>
      <c r="E19" s="185">
        <f t="shared" si="3"/>
        <v>0</v>
      </c>
      <c r="F19" s="185"/>
      <c r="G19" s="185"/>
      <c r="H19" s="185"/>
      <c r="I19" s="185"/>
      <c r="J19" s="198"/>
      <c r="K19" s="185"/>
      <c r="L19" s="185"/>
      <c r="M19" s="185"/>
      <c r="N19" s="185"/>
      <c r="O19" s="185"/>
      <c r="P19" s="185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</row>
    <row r="20" spans="1:112" s="204" customFormat="1" x14ac:dyDescent="0.2">
      <c r="A20" s="184" t="s">
        <v>164</v>
      </c>
      <c r="B20" s="184"/>
      <c r="C20" s="184" t="s">
        <v>164</v>
      </c>
      <c r="D20" s="184"/>
      <c r="E20" s="185">
        <f t="shared" ref="E20" si="4">SUM(F20:P20)</f>
        <v>104800</v>
      </c>
      <c r="F20" s="185"/>
      <c r="G20" s="185"/>
      <c r="H20" s="185"/>
      <c r="I20" s="185"/>
      <c r="J20" s="198"/>
      <c r="K20" s="185"/>
      <c r="L20" s="185"/>
      <c r="M20" s="185"/>
      <c r="N20" s="185"/>
      <c r="O20" s="185"/>
      <c r="P20" s="185">
        <v>104800</v>
      </c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</row>
    <row r="21" spans="1:112" ht="13.5" thickBot="1" x14ac:dyDescent="0.25">
      <c r="E21" s="205">
        <f t="shared" ref="E21:N21" si="5">SUM(E15:E20)</f>
        <v>1713384.4592000002</v>
      </c>
      <c r="F21" s="205">
        <f t="shared" si="5"/>
        <v>1013435.5200000001</v>
      </c>
      <c r="G21" s="205">
        <f t="shared" si="5"/>
        <v>222955.81440000003</v>
      </c>
      <c r="H21" s="205">
        <f t="shared" si="5"/>
        <v>99407.28</v>
      </c>
      <c r="I21" s="205">
        <f t="shared" si="5"/>
        <v>16800</v>
      </c>
      <c r="J21" s="205">
        <f t="shared" si="5"/>
        <v>3852</v>
      </c>
      <c r="K21" s="205">
        <f t="shared" si="5"/>
        <v>154800</v>
      </c>
      <c r="L21" s="205">
        <f t="shared" si="5"/>
        <v>186</v>
      </c>
      <c r="M21" s="205">
        <f t="shared" si="5"/>
        <v>12694.884800000003</v>
      </c>
      <c r="N21" s="205">
        <f t="shared" si="5"/>
        <v>84452.96</v>
      </c>
      <c r="O21" s="205"/>
      <c r="P21" s="205">
        <f>SUM(P15:P20)</f>
        <v>104800</v>
      </c>
    </row>
    <row r="22" spans="1:112" ht="13.5" thickTop="1" x14ac:dyDescent="0.2">
      <c r="C22" s="184" t="s">
        <v>199</v>
      </c>
      <c r="D22" s="184">
        <f>COUNT(D15:D20)</f>
        <v>4</v>
      </c>
    </row>
    <row r="23" spans="1:112" x14ac:dyDescent="0.2">
      <c r="A23" s="192" t="s">
        <v>134</v>
      </c>
    </row>
    <row r="24" spans="1:112" x14ac:dyDescent="0.2">
      <c r="C24" s="184" t="s">
        <v>176</v>
      </c>
      <c r="D24" s="193" t="s">
        <v>177</v>
      </c>
      <c r="E24" s="193" t="s">
        <v>178</v>
      </c>
      <c r="F24" s="193" t="s">
        <v>179</v>
      </c>
      <c r="G24" s="193" t="s">
        <v>180</v>
      </c>
      <c r="H24" s="193" t="s">
        <v>181</v>
      </c>
      <c r="I24" s="193" t="s">
        <v>182</v>
      </c>
      <c r="J24" s="193" t="s">
        <v>183</v>
      </c>
      <c r="K24" s="193" t="s">
        <v>184</v>
      </c>
      <c r="L24" s="193" t="s">
        <v>185</v>
      </c>
      <c r="M24" s="193" t="s">
        <v>186</v>
      </c>
      <c r="N24" s="193" t="s">
        <v>187</v>
      </c>
      <c r="O24" s="193"/>
      <c r="P24" s="194" t="s">
        <v>164</v>
      </c>
    </row>
    <row r="25" spans="1:112" x14ac:dyDescent="0.2">
      <c r="D25" s="193" t="s">
        <v>188</v>
      </c>
      <c r="E25" s="193" t="s">
        <v>189</v>
      </c>
      <c r="F25" s="193"/>
      <c r="G25" s="193" t="s">
        <v>190</v>
      </c>
      <c r="H25" s="193" t="s">
        <v>190</v>
      </c>
      <c r="I25" s="193" t="s">
        <v>191</v>
      </c>
      <c r="J25" s="193"/>
      <c r="K25" s="193" t="s">
        <v>192</v>
      </c>
      <c r="L25" s="193" t="s">
        <v>193</v>
      </c>
      <c r="M25" s="193" t="s">
        <v>194</v>
      </c>
      <c r="N25" s="193" t="s">
        <v>195</v>
      </c>
      <c r="O25" s="193"/>
    </row>
    <row r="26" spans="1:112" x14ac:dyDescent="0.2">
      <c r="A26" s="195" t="s">
        <v>679</v>
      </c>
      <c r="C26" s="184" t="s">
        <v>341</v>
      </c>
      <c r="D26" s="196">
        <v>2</v>
      </c>
      <c r="E26" s="185">
        <f>SUM(F26:P26)</f>
        <v>1011804.6731000001</v>
      </c>
      <c r="F26" s="185">
        <f>47129*(B$6+1)*12</f>
        <v>605136.3600000001</v>
      </c>
      <c r="G26" s="185">
        <f>F26*0.22</f>
        <v>133129.99920000002</v>
      </c>
      <c r="H26" s="185">
        <f t="shared" ref="H26:H39" si="6">3871*(B$7+1)*12</f>
        <v>49703.64</v>
      </c>
      <c r="I26" s="185">
        <f t="shared" ref="I26:I39" si="7">700*12</f>
        <v>8400</v>
      </c>
      <c r="J26" s="198">
        <v>1926</v>
      </c>
      <c r="K26" s="194">
        <f>12900*12</f>
        <v>154800</v>
      </c>
      <c r="L26" s="185">
        <v>93</v>
      </c>
      <c r="M26" s="185">
        <f>(N26+I26+K26+F26)*0.01</f>
        <v>8187.6439000000018</v>
      </c>
      <c r="N26" s="185">
        <f>F26/12</f>
        <v>50428.030000000006</v>
      </c>
      <c r="O26" s="185"/>
    </row>
    <row r="27" spans="1:112" s="203" customFormat="1" x14ac:dyDescent="0.2">
      <c r="A27" s="200" t="s">
        <v>680</v>
      </c>
      <c r="B27" s="200"/>
      <c r="C27" s="200" t="s">
        <v>34</v>
      </c>
      <c r="D27" s="200">
        <v>3</v>
      </c>
      <c r="E27" s="201"/>
      <c r="F27" s="201"/>
      <c r="G27" s="201"/>
      <c r="H27" s="201"/>
      <c r="I27" s="201"/>
      <c r="J27" s="202"/>
      <c r="K27" s="201"/>
      <c r="L27" s="201"/>
      <c r="M27" s="201"/>
      <c r="N27" s="201"/>
      <c r="O27" s="201"/>
      <c r="P27" s="201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</row>
    <row r="28" spans="1:112" s="203" customFormat="1" x14ac:dyDescent="0.2">
      <c r="A28" s="200" t="s">
        <v>680</v>
      </c>
      <c r="B28" s="200"/>
      <c r="C28" s="200" t="s">
        <v>34</v>
      </c>
      <c r="D28" s="200">
        <v>3</v>
      </c>
      <c r="E28" s="201"/>
      <c r="F28" s="201"/>
      <c r="G28" s="201"/>
      <c r="H28" s="201"/>
      <c r="I28" s="201"/>
      <c r="J28" s="202"/>
      <c r="K28" s="201"/>
      <c r="L28" s="201"/>
      <c r="M28" s="201"/>
      <c r="N28" s="201"/>
      <c r="O28" s="201"/>
      <c r="P28" s="201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</row>
    <row r="29" spans="1:112" s="203" customFormat="1" x14ac:dyDescent="0.2">
      <c r="A29" s="200" t="s">
        <v>681</v>
      </c>
      <c r="B29" s="200"/>
      <c r="C29" s="200" t="s">
        <v>34</v>
      </c>
      <c r="D29" s="200">
        <v>3</v>
      </c>
      <c r="E29" s="201"/>
      <c r="F29" s="201"/>
      <c r="G29" s="201"/>
      <c r="H29" s="201"/>
      <c r="I29" s="201"/>
      <c r="J29" s="202"/>
      <c r="K29" s="201"/>
      <c r="L29" s="201"/>
      <c r="M29" s="201"/>
      <c r="N29" s="201"/>
      <c r="O29" s="201"/>
      <c r="P29" s="201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</row>
    <row r="30" spans="1:112" s="203" customFormat="1" x14ac:dyDescent="0.2">
      <c r="A30" s="200" t="s">
        <v>682</v>
      </c>
      <c r="B30" s="200"/>
      <c r="C30" s="200" t="s">
        <v>34</v>
      </c>
      <c r="D30" s="200">
        <v>8</v>
      </c>
      <c r="E30" s="201"/>
      <c r="F30" s="201"/>
      <c r="G30" s="201"/>
      <c r="H30" s="201"/>
      <c r="I30" s="201"/>
      <c r="J30" s="202"/>
      <c r="K30" s="201"/>
      <c r="L30" s="201"/>
      <c r="M30" s="201"/>
      <c r="N30" s="201"/>
      <c r="O30" s="201"/>
      <c r="P30" s="201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</row>
    <row r="31" spans="1:112" s="203" customFormat="1" x14ac:dyDescent="0.2">
      <c r="A31" s="200" t="s">
        <v>682</v>
      </c>
      <c r="B31" s="200"/>
      <c r="C31" s="200" t="s">
        <v>34</v>
      </c>
      <c r="D31" s="200">
        <v>8</v>
      </c>
      <c r="E31" s="201"/>
      <c r="F31" s="201"/>
      <c r="G31" s="201"/>
      <c r="H31" s="201"/>
      <c r="I31" s="201"/>
      <c r="J31" s="202"/>
      <c r="K31" s="201"/>
      <c r="L31" s="201"/>
      <c r="M31" s="201"/>
      <c r="N31" s="201"/>
      <c r="O31" s="201"/>
      <c r="P31" s="201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</row>
    <row r="32" spans="1:112" s="203" customFormat="1" x14ac:dyDescent="0.2">
      <c r="A32" s="200" t="s">
        <v>682</v>
      </c>
      <c r="B32" s="200"/>
      <c r="C32" s="200" t="s">
        <v>34</v>
      </c>
      <c r="D32" s="200">
        <v>8</v>
      </c>
      <c r="E32" s="201"/>
      <c r="F32" s="201"/>
      <c r="G32" s="201"/>
      <c r="H32" s="201"/>
      <c r="I32" s="201"/>
      <c r="J32" s="202"/>
      <c r="K32" s="201"/>
      <c r="L32" s="201"/>
      <c r="M32" s="201"/>
      <c r="N32" s="201"/>
      <c r="O32" s="201"/>
      <c r="P32" s="201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</row>
    <row r="33" spans="1:112" x14ac:dyDescent="0.2">
      <c r="A33" s="195" t="s">
        <v>19</v>
      </c>
      <c r="C33" s="195" t="s">
        <v>340</v>
      </c>
      <c r="D33" s="184">
        <v>8</v>
      </c>
      <c r="E33" s="185">
        <f t="shared" ref="E33:E41" si="8">SUM(F33:P33)</f>
        <v>531012.11050000007</v>
      </c>
      <c r="F33" s="185">
        <f>21595*(B$6+1)*12</f>
        <v>277279.80000000005</v>
      </c>
      <c r="G33" s="185">
        <f t="shared" ref="G33:G37" si="9">F33*0.22</f>
        <v>61001.556000000011</v>
      </c>
      <c r="H33" s="185">
        <f t="shared" si="6"/>
        <v>49703.64</v>
      </c>
      <c r="I33" s="185">
        <f t="shared" si="7"/>
        <v>8400</v>
      </c>
      <c r="J33" s="198">
        <v>1926</v>
      </c>
      <c r="K33" s="185">
        <f>8780*12</f>
        <v>105360</v>
      </c>
      <c r="L33" s="185">
        <v>93</v>
      </c>
      <c r="M33" s="185">
        <f t="shared" ref="M33:M36" si="10">(N33+I33+K33+F33)*0.01</f>
        <v>4141.464500000001</v>
      </c>
      <c r="N33" s="185">
        <f t="shared" ref="N33:N37" si="11">F33/12</f>
        <v>23106.650000000005</v>
      </c>
      <c r="O33" s="185"/>
    </row>
    <row r="34" spans="1:112" x14ac:dyDescent="0.2">
      <c r="A34" s="195" t="s">
        <v>19</v>
      </c>
      <c r="C34" s="184" t="s">
        <v>364</v>
      </c>
      <c r="D34" s="195">
        <v>8</v>
      </c>
      <c r="E34" s="185">
        <f t="shared" si="8"/>
        <v>424598.51050000009</v>
      </c>
      <c r="F34" s="185">
        <f>21595*(B$6+1)*12</f>
        <v>277279.80000000005</v>
      </c>
      <c r="G34" s="185">
        <f>F34*0.22</f>
        <v>61001.556000000011</v>
      </c>
      <c r="H34" s="185">
        <f t="shared" si="6"/>
        <v>49703.64</v>
      </c>
      <c r="I34" s="185">
        <f t="shared" si="7"/>
        <v>8400</v>
      </c>
      <c r="J34" s="198">
        <v>1926</v>
      </c>
      <c r="K34" s="185">
        <v>0</v>
      </c>
      <c r="L34" s="185">
        <v>93</v>
      </c>
      <c r="M34" s="185">
        <f>(N34+I34+K34+F34)*0.01</f>
        <v>3087.8645000000006</v>
      </c>
      <c r="N34" s="185">
        <f>F34/12</f>
        <v>23106.650000000005</v>
      </c>
      <c r="O34" s="185"/>
    </row>
    <row r="35" spans="1:112" x14ac:dyDescent="0.2">
      <c r="A35" s="195" t="s">
        <v>19</v>
      </c>
      <c r="C35" s="184" t="s">
        <v>339</v>
      </c>
      <c r="D35" s="184">
        <v>8</v>
      </c>
      <c r="E35" s="185">
        <f t="shared" si="8"/>
        <v>531012.11050000007</v>
      </c>
      <c r="F35" s="185">
        <f>21595*(B$6+1)*12</f>
        <v>277279.80000000005</v>
      </c>
      <c r="G35" s="185">
        <f t="shared" ref="G35" si="12">F35*0.22</f>
        <v>61001.556000000011</v>
      </c>
      <c r="H35" s="185">
        <f t="shared" si="6"/>
        <v>49703.64</v>
      </c>
      <c r="I35" s="185">
        <f t="shared" si="7"/>
        <v>8400</v>
      </c>
      <c r="J35" s="198">
        <v>1926</v>
      </c>
      <c r="K35" s="185">
        <f>8780*12</f>
        <v>105360</v>
      </c>
      <c r="L35" s="185">
        <v>93</v>
      </c>
      <c r="M35" s="185">
        <f t="shared" ref="M35" si="13">(N35+I35+K35+F35)*0.01</f>
        <v>4141.464500000001</v>
      </c>
      <c r="N35" s="185">
        <f t="shared" ref="N35" si="14">F35/12</f>
        <v>23106.650000000005</v>
      </c>
      <c r="O35" s="185"/>
    </row>
    <row r="36" spans="1:112" x14ac:dyDescent="0.2">
      <c r="A36" s="195" t="s">
        <v>19</v>
      </c>
      <c r="C36" s="184" t="s">
        <v>337</v>
      </c>
      <c r="D36" s="184">
        <v>8</v>
      </c>
      <c r="E36" s="185">
        <f t="shared" si="8"/>
        <v>531012.11050000007</v>
      </c>
      <c r="F36" s="185">
        <f>21595*(B$6+1)*12</f>
        <v>277279.80000000005</v>
      </c>
      <c r="G36" s="185">
        <f t="shared" si="9"/>
        <v>61001.556000000011</v>
      </c>
      <c r="H36" s="185">
        <f t="shared" si="6"/>
        <v>49703.64</v>
      </c>
      <c r="I36" s="185">
        <f t="shared" si="7"/>
        <v>8400</v>
      </c>
      <c r="J36" s="198">
        <v>1926</v>
      </c>
      <c r="K36" s="185">
        <f t="shared" ref="K36:K38" si="15">8780*12</f>
        <v>105360</v>
      </c>
      <c r="L36" s="185">
        <v>93</v>
      </c>
      <c r="M36" s="185">
        <f t="shared" si="10"/>
        <v>4141.464500000001</v>
      </c>
      <c r="N36" s="185">
        <f t="shared" si="11"/>
        <v>23106.650000000005</v>
      </c>
      <c r="O36" s="185"/>
    </row>
    <row r="37" spans="1:112" x14ac:dyDescent="0.2">
      <c r="A37" s="195" t="s">
        <v>525</v>
      </c>
      <c r="C37" s="184" t="s">
        <v>356</v>
      </c>
      <c r="D37" s="184">
        <v>5</v>
      </c>
      <c r="E37" s="185">
        <f t="shared" ref="E37" si="16">SUM(F37:P37)</f>
        <v>715422.54520000005</v>
      </c>
      <c r="F37" s="185">
        <f>31799*(B$6+1)*12</f>
        <v>408299.16000000003</v>
      </c>
      <c r="G37" s="185">
        <f t="shared" si="9"/>
        <v>89825.815200000012</v>
      </c>
      <c r="H37" s="185">
        <f t="shared" si="6"/>
        <v>49703.64</v>
      </c>
      <c r="I37" s="185">
        <f>700*12</f>
        <v>8400</v>
      </c>
      <c r="J37" s="198">
        <v>1926</v>
      </c>
      <c r="K37" s="185">
        <f>10080*12</f>
        <v>120960</v>
      </c>
      <c r="L37" s="185">
        <v>93</v>
      </c>
      <c r="M37" s="185">
        <v>2190</v>
      </c>
      <c r="N37" s="185">
        <f t="shared" si="11"/>
        <v>34024.93</v>
      </c>
      <c r="O37" s="185"/>
    </row>
    <row r="38" spans="1:112" x14ac:dyDescent="0.2">
      <c r="A38" s="195" t="s">
        <v>435</v>
      </c>
      <c r="C38" s="184" t="s">
        <v>338</v>
      </c>
      <c r="D38" s="184">
        <v>8</v>
      </c>
      <c r="E38" s="185">
        <f>SUM(F38:P38)</f>
        <v>531012.11050000007</v>
      </c>
      <c r="F38" s="185">
        <f>21595*(B$6+1)*12</f>
        <v>277279.80000000005</v>
      </c>
      <c r="G38" s="185">
        <f>F38*0.22</f>
        <v>61001.556000000011</v>
      </c>
      <c r="H38" s="185">
        <f t="shared" si="6"/>
        <v>49703.64</v>
      </c>
      <c r="I38" s="185">
        <f t="shared" si="7"/>
        <v>8400</v>
      </c>
      <c r="J38" s="198">
        <v>1926</v>
      </c>
      <c r="K38" s="185">
        <f t="shared" si="15"/>
        <v>105360</v>
      </c>
      <c r="L38" s="185">
        <v>93</v>
      </c>
      <c r="M38" s="185">
        <f>(N38+I38+K38+F38)*0.01</f>
        <v>4141.464500000001</v>
      </c>
      <c r="N38" s="185">
        <f>F38/12</f>
        <v>23106.650000000005</v>
      </c>
      <c r="O38" s="185"/>
    </row>
    <row r="39" spans="1:112" x14ac:dyDescent="0.2">
      <c r="A39" s="195" t="s">
        <v>434</v>
      </c>
      <c r="C39" s="195" t="s">
        <v>483</v>
      </c>
      <c r="D39" s="184">
        <v>8</v>
      </c>
      <c r="E39" s="185">
        <f>SUM(F39:P39)</f>
        <v>406897.78940000001</v>
      </c>
      <c r="F39" s="185">
        <f>20546*(B$6+1)*12</f>
        <v>263810.64</v>
      </c>
      <c r="G39" s="185">
        <f>F39*0.22</f>
        <v>58038.340800000005</v>
      </c>
      <c r="H39" s="185">
        <f t="shared" si="6"/>
        <v>49703.64</v>
      </c>
      <c r="I39" s="185">
        <f t="shared" si="7"/>
        <v>8400</v>
      </c>
      <c r="J39" s="198">
        <v>1926</v>
      </c>
      <c r="K39" s="185">
        <v>0</v>
      </c>
      <c r="L39" s="185">
        <v>93</v>
      </c>
      <c r="M39" s="185">
        <f>(N39+I39+K39+F39)*0.01</f>
        <v>2941.9485999999997</v>
      </c>
      <c r="N39" s="185">
        <f>F39/12</f>
        <v>21984.22</v>
      </c>
      <c r="O39" s="185"/>
    </row>
    <row r="40" spans="1:112" x14ac:dyDescent="0.2">
      <c r="A40" s="195" t="s">
        <v>329</v>
      </c>
      <c r="E40" s="185">
        <f>SUM(F40:P40)</f>
        <v>0</v>
      </c>
      <c r="F40" s="185"/>
      <c r="G40" s="185"/>
      <c r="H40" s="185"/>
      <c r="I40" s="185"/>
      <c r="J40" s="198"/>
      <c r="K40" s="185"/>
      <c r="L40" s="185"/>
      <c r="M40" s="185"/>
      <c r="N40" s="185"/>
      <c r="O40" s="185"/>
    </row>
    <row r="41" spans="1:112" x14ac:dyDescent="0.2">
      <c r="A41" s="195" t="s">
        <v>164</v>
      </c>
      <c r="C41" s="195" t="s">
        <v>164</v>
      </c>
      <c r="E41" s="185">
        <f t="shared" si="8"/>
        <v>64800</v>
      </c>
      <c r="F41" s="185"/>
      <c r="G41" s="185"/>
      <c r="H41" s="185"/>
      <c r="I41" s="185"/>
      <c r="J41" s="198"/>
      <c r="K41" s="185"/>
      <c r="L41" s="185"/>
      <c r="M41" s="185"/>
      <c r="N41" s="185"/>
      <c r="O41" s="185"/>
      <c r="P41" s="185">
        <v>64800</v>
      </c>
    </row>
    <row r="42" spans="1:112" ht="13.5" thickBot="1" x14ac:dyDescent="0.25">
      <c r="E42" s="205">
        <f t="shared" ref="E42:N42" si="17">SUM(E26:E41)</f>
        <v>4747571.9602000006</v>
      </c>
      <c r="F42" s="205">
        <f t="shared" si="17"/>
        <v>2663645.1600000006</v>
      </c>
      <c r="G42" s="205">
        <f t="shared" si="17"/>
        <v>586001.93520000007</v>
      </c>
      <c r="H42" s="205">
        <f t="shared" si="17"/>
        <v>397629.12000000005</v>
      </c>
      <c r="I42" s="205">
        <f t="shared" si="17"/>
        <v>67200</v>
      </c>
      <c r="J42" s="205">
        <f t="shared" si="17"/>
        <v>15408</v>
      </c>
      <c r="K42" s="205">
        <f t="shared" si="17"/>
        <v>697200</v>
      </c>
      <c r="L42" s="205">
        <f t="shared" si="17"/>
        <v>744</v>
      </c>
      <c r="M42" s="205">
        <f t="shared" si="17"/>
        <v>32973.31500000001</v>
      </c>
      <c r="N42" s="205">
        <f t="shared" si="17"/>
        <v>221970.43000000002</v>
      </c>
      <c r="O42" s="205"/>
      <c r="P42" s="205">
        <f>SUM(P26:P41)</f>
        <v>64800</v>
      </c>
    </row>
    <row r="43" spans="1:112" ht="13.5" thickTop="1" x14ac:dyDescent="0.2">
      <c r="C43" s="184" t="s">
        <v>199</v>
      </c>
      <c r="D43" s="184">
        <f>COUNT(D26:D42)</f>
        <v>14</v>
      </c>
    </row>
    <row r="44" spans="1:112" x14ac:dyDescent="0.2">
      <c r="A44" s="192" t="s">
        <v>16</v>
      </c>
    </row>
    <row r="45" spans="1:112" x14ac:dyDescent="0.2">
      <c r="C45" s="184" t="s">
        <v>176</v>
      </c>
      <c r="D45" s="193" t="s">
        <v>177</v>
      </c>
      <c r="E45" s="193" t="s">
        <v>178</v>
      </c>
      <c r="F45" s="193" t="s">
        <v>179</v>
      </c>
      <c r="G45" s="193" t="s">
        <v>180</v>
      </c>
      <c r="H45" s="193" t="s">
        <v>181</v>
      </c>
      <c r="I45" s="193" t="s">
        <v>182</v>
      </c>
      <c r="J45" s="193" t="s">
        <v>183</v>
      </c>
      <c r="K45" s="193" t="s">
        <v>184</v>
      </c>
      <c r="L45" s="193" t="s">
        <v>185</v>
      </c>
      <c r="M45" s="193" t="s">
        <v>186</v>
      </c>
      <c r="N45" s="193" t="s">
        <v>187</v>
      </c>
      <c r="O45" s="193"/>
    </row>
    <row r="46" spans="1:112" x14ac:dyDescent="0.2">
      <c r="D46" s="193" t="s">
        <v>188</v>
      </c>
      <c r="E46" s="193" t="s">
        <v>189</v>
      </c>
      <c r="F46" s="193"/>
      <c r="G46" s="193" t="s">
        <v>190</v>
      </c>
      <c r="H46" s="193" t="s">
        <v>190</v>
      </c>
      <c r="I46" s="193" t="s">
        <v>191</v>
      </c>
      <c r="J46" s="193"/>
      <c r="K46" s="193" t="s">
        <v>192</v>
      </c>
      <c r="L46" s="193" t="s">
        <v>193</v>
      </c>
      <c r="M46" s="193" t="s">
        <v>194</v>
      </c>
      <c r="N46" s="193" t="s">
        <v>195</v>
      </c>
      <c r="O46" s="193"/>
    </row>
    <row r="47" spans="1:112" s="203" customFormat="1" x14ac:dyDescent="0.2">
      <c r="A47" s="200" t="s">
        <v>684</v>
      </c>
      <c r="B47" s="200"/>
      <c r="C47" s="200" t="s">
        <v>34</v>
      </c>
      <c r="D47" s="206">
        <v>2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1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</row>
    <row r="48" spans="1:112" x14ac:dyDescent="0.2">
      <c r="A48" s="195" t="s">
        <v>15</v>
      </c>
      <c r="C48" s="195" t="s">
        <v>556</v>
      </c>
      <c r="D48" s="184">
        <v>8</v>
      </c>
      <c r="E48" s="185">
        <f t="shared" ref="E48:E49" si="18">SUM(F48:P48)</f>
        <v>390074.5111</v>
      </c>
      <c r="F48" s="185">
        <f>19549*(B$6+1)*12</f>
        <v>251009.16</v>
      </c>
      <c r="G48" s="185">
        <f t="shared" ref="G48" si="19">F48*0.22</f>
        <v>55222.015200000002</v>
      </c>
      <c r="H48" s="185">
        <f>3871*(B$7+1)*12</f>
        <v>49703.64</v>
      </c>
      <c r="I48" s="185">
        <f t="shared" ref="I48" si="20">700*12</f>
        <v>8400</v>
      </c>
      <c r="J48" s="198">
        <v>1926</v>
      </c>
      <c r="K48" s="185">
        <v>0</v>
      </c>
      <c r="L48" s="185">
        <v>93</v>
      </c>
      <c r="M48" s="185">
        <f t="shared" ref="M48" si="21">(N48+I48+K48+F48)*0.01</f>
        <v>2803.2659000000003</v>
      </c>
      <c r="N48" s="185">
        <f t="shared" ref="N48" si="22">F48/12</f>
        <v>20917.43</v>
      </c>
      <c r="O48" s="185"/>
    </row>
    <row r="49" spans="1:16" x14ac:dyDescent="0.2">
      <c r="A49" s="195" t="s">
        <v>329</v>
      </c>
      <c r="E49" s="185">
        <f t="shared" si="18"/>
        <v>0</v>
      </c>
      <c r="F49" s="185"/>
      <c r="G49" s="185"/>
      <c r="H49" s="185"/>
      <c r="I49" s="185"/>
      <c r="J49" s="198"/>
      <c r="K49" s="185"/>
      <c r="L49" s="185"/>
      <c r="M49" s="185"/>
      <c r="N49" s="185"/>
      <c r="O49" s="185"/>
    </row>
    <row r="50" spans="1:16" x14ac:dyDescent="0.2"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</row>
    <row r="51" spans="1:16" ht="13.5" thickBot="1" x14ac:dyDescent="0.25">
      <c r="E51" s="205">
        <f t="shared" ref="E51:N51" si="23">SUM(E48:E50)</f>
        <v>390074.5111</v>
      </c>
      <c r="F51" s="205">
        <f t="shared" si="23"/>
        <v>251009.16</v>
      </c>
      <c r="G51" s="205">
        <f t="shared" si="23"/>
        <v>55222.015200000002</v>
      </c>
      <c r="H51" s="205">
        <f t="shared" si="23"/>
        <v>49703.64</v>
      </c>
      <c r="I51" s="205">
        <f t="shared" si="23"/>
        <v>8400</v>
      </c>
      <c r="J51" s="205">
        <f t="shared" si="23"/>
        <v>1926</v>
      </c>
      <c r="K51" s="205">
        <f t="shared" si="23"/>
        <v>0</v>
      </c>
      <c r="L51" s="205">
        <f t="shared" si="23"/>
        <v>93</v>
      </c>
      <c r="M51" s="205">
        <f t="shared" si="23"/>
        <v>2803.2659000000003</v>
      </c>
      <c r="N51" s="205">
        <f t="shared" si="23"/>
        <v>20917.43</v>
      </c>
      <c r="O51" s="208"/>
    </row>
    <row r="52" spans="1:16" ht="13.5" thickTop="1" x14ac:dyDescent="0.2">
      <c r="C52" s="184" t="s">
        <v>199</v>
      </c>
      <c r="D52" s="184">
        <f>COUNT(D48:D51)</f>
        <v>1</v>
      </c>
    </row>
    <row r="53" spans="1:16" x14ac:dyDescent="0.2">
      <c r="A53" s="192" t="s">
        <v>135</v>
      </c>
    </row>
    <row r="54" spans="1:16" x14ac:dyDescent="0.2">
      <c r="C54" s="184" t="s">
        <v>176</v>
      </c>
      <c r="D54" s="193" t="s">
        <v>177</v>
      </c>
      <c r="E54" s="193" t="s">
        <v>178</v>
      </c>
      <c r="F54" s="193" t="s">
        <v>179</v>
      </c>
      <c r="G54" s="193" t="s">
        <v>180</v>
      </c>
      <c r="H54" s="193" t="s">
        <v>181</v>
      </c>
      <c r="I54" s="193" t="s">
        <v>182</v>
      </c>
      <c r="J54" s="193" t="s">
        <v>183</v>
      </c>
      <c r="K54" s="193" t="s">
        <v>184</v>
      </c>
      <c r="L54" s="193" t="s">
        <v>185</v>
      </c>
      <c r="M54" s="193" t="s">
        <v>186</v>
      </c>
      <c r="N54" s="193" t="s">
        <v>187</v>
      </c>
      <c r="O54" s="193"/>
      <c r="P54" s="185" t="s">
        <v>164</v>
      </c>
    </row>
    <row r="55" spans="1:16" x14ac:dyDescent="0.2">
      <c r="D55" s="193" t="s">
        <v>188</v>
      </c>
      <c r="E55" s="193" t="s">
        <v>189</v>
      </c>
      <c r="F55" s="193"/>
      <c r="G55" s="193" t="s">
        <v>190</v>
      </c>
      <c r="H55" s="193" t="s">
        <v>190</v>
      </c>
      <c r="I55" s="193" t="s">
        <v>191</v>
      </c>
      <c r="J55" s="193"/>
      <c r="K55" s="193" t="s">
        <v>192</v>
      </c>
      <c r="L55" s="193" t="s">
        <v>193</v>
      </c>
      <c r="M55" s="193" t="s">
        <v>194</v>
      </c>
      <c r="N55" s="193" t="s">
        <v>195</v>
      </c>
      <c r="O55" s="193"/>
    </row>
    <row r="56" spans="1:16" x14ac:dyDescent="0.2">
      <c r="A56" s="195" t="s">
        <v>344</v>
      </c>
      <c r="C56" s="195" t="s">
        <v>538</v>
      </c>
      <c r="D56" s="184">
        <v>8</v>
      </c>
      <c r="E56" s="185">
        <f>SUM(F56:P56)</f>
        <v>424598.51050000009</v>
      </c>
      <c r="F56" s="185">
        <f>21595*(B$6+1)*12</f>
        <v>277279.80000000005</v>
      </c>
      <c r="G56" s="185">
        <f>F56*0.22</f>
        <v>61001.556000000011</v>
      </c>
      <c r="H56" s="185">
        <f t="shared" ref="H56:H62" si="24">3871*(B$7+1)*12</f>
        <v>49703.64</v>
      </c>
      <c r="I56" s="185">
        <f t="shared" ref="I56:I62" si="25">700*12</f>
        <v>8400</v>
      </c>
      <c r="J56" s="198">
        <v>1926</v>
      </c>
      <c r="K56" s="185">
        <v>0</v>
      </c>
      <c r="L56" s="185">
        <v>93</v>
      </c>
      <c r="M56" s="185">
        <f>(N56+I56+K56+F56)*0.01</f>
        <v>3087.8645000000006</v>
      </c>
      <c r="N56" s="185">
        <f>F56/12</f>
        <v>23106.650000000005</v>
      </c>
      <c r="O56" s="185"/>
    </row>
    <row r="57" spans="1:16" x14ac:dyDescent="0.2">
      <c r="A57" s="195" t="s">
        <v>502</v>
      </c>
      <c r="C57" s="184" t="s">
        <v>503</v>
      </c>
      <c r="D57" s="184">
        <v>8</v>
      </c>
      <c r="E57" s="185">
        <f>SUM(F57:P57)</f>
        <v>406897.78940000001</v>
      </c>
      <c r="F57" s="185">
        <f>20546*(B$6+1)*12</f>
        <v>263810.64</v>
      </c>
      <c r="G57" s="185">
        <f>F57*0.22</f>
        <v>58038.340800000005</v>
      </c>
      <c r="H57" s="185">
        <f t="shared" si="24"/>
        <v>49703.64</v>
      </c>
      <c r="I57" s="185">
        <f t="shared" si="25"/>
        <v>8400</v>
      </c>
      <c r="J57" s="198">
        <v>1926</v>
      </c>
      <c r="K57" s="185">
        <v>0</v>
      </c>
      <c r="L57" s="185">
        <v>93</v>
      </c>
      <c r="M57" s="185">
        <f>(N57+I57+K57+F57)*0.01</f>
        <v>2941.9485999999997</v>
      </c>
      <c r="N57" s="185">
        <f>F57/12</f>
        <v>21984.22</v>
      </c>
      <c r="O57" s="185"/>
    </row>
    <row r="58" spans="1:16" x14ac:dyDescent="0.2">
      <c r="A58" s="195" t="s">
        <v>465</v>
      </c>
      <c r="C58" s="195" t="s">
        <v>342</v>
      </c>
      <c r="D58" s="184">
        <v>8</v>
      </c>
      <c r="E58" s="185">
        <f t="shared" ref="E58:E64" si="26">SUM(F58:P58)</f>
        <v>424598.51050000009</v>
      </c>
      <c r="F58" s="185">
        <f>21595*(B$6+1)*12</f>
        <v>277279.80000000005</v>
      </c>
      <c r="G58" s="185">
        <f t="shared" ref="G58:G59" si="27">F58*0.22</f>
        <v>61001.556000000011</v>
      </c>
      <c r="H58" s="185">
        <f t="shared" si="24"/>
        <v>49703.64</v>
      </c>
      <c r="I58" s="185">
        <f t="shared" si="25"/>
        <v>8400</v>
      </c>
      <c r="J58" s="198">
        <v>1926</v>
      </c>
      <c r="K58" s="185">
        <v>0</v>
      </c>
      <c r="L58" s="185">
        <v>93</v>
      </c>
      <c r="M58" s="185">
        <f t="shared" ref="M58:M59" si="28">(N58+I58+K58+F58)*0.01</f>
        <v>3087.8645000000006</v>
      </c>
      <c r="N58" s="185">
        <f t="shared" ref="N58:N59" si="29">F58/12</f>
        <v>23106.650000000005</v>
      </c>
      <c r="O58" s="185"/>
    </row>
    <row r="59" spans="1:16" s="184" customFormat="1" x14ac:dyDescent="0.2">
      <c r="A59" s="195" t="s">
        <v>55</v>
      </c>
      <c r="C59" s="195" t="s">
        <v>82</v>
      </c>
      <c r="D59" s="184">
        <v>8</v>
      </c>
      <c r="E59" s="185">
        <f t="shared" si="26"/>
        <v>424598.51050000009</v>
      </c>
      <c r="F59" s="185">
        <f>21595*(B$6+1)*12</f>
        <v>277279.80000000005</v>
      </c>
      <c r="G59" s="185">
        <f t="shared" si="27"/>
        <v>61001.556000000011</v>
      </c>
      <c r="H59" s="185">
        <f t="shared" si="24"/>
        <v>49703.64</v>
      </c>
      <c r="I59" s="185">
        <f t="shared" si="25"/>
        <v>8400</v>
      </c>
      <c r="J59" s="198">
        <v>1926</v>
      </c>
      <c r="K59" s="185">
        <v>0</v>
      </c>
      <c r="L59" s="185">
        <v>93</v>
      </c>
      <c r="M59" s="185">
        <f t="shared" si="28"/>
        <v>3087.8645000000006</v>
      </c>
      <c r="N59" s="185">
        <f t="shared" si="29"/>
        <v>23106.650000000005</v>
      </c>
      <c r="O59" s="185"/>
      <c r="P59" s="185"/>
    </row>
    <row r="60" spans="1:16" s="200" customFormat="1" x14ac:dyDescent="0.2">
      <c r="A60" s="195" t="s">
        <v>487</v>
      </c>
      <c r="B60" s="195"/>
      <c r="C60" s="195" t="s">
        <v>539</v>
      </c>
      <c r="D60" s="195">
        <v>8</v>
      </c>
      <c r="E60" s="194">
        <f t="shared" ref="E60" si="30">SUM(F60:P60)</f>
        <v>390074.5111</v>
      </c>
      <c r="F60" s="194">
        <f>19549*(B$6+1)*12</f>
        <v>251009.16</v>
      </c>
      <c r="G60" s="194">
        <f t="shared" ref="G60" si="31">F60*0.22</f>
        <v>55222.015200000002</v>
      </c>
      <c r="H60" s="185">
        <f t="shared" si="24"/>
        <v>49703.64</v>
      </c>
      <c r="I60" s="194">
        <f t="shared" si="25"/>
        <v>8400</v>
      </c>
      <c r="J60" s="209">
        <v>1926</v>
      </c>
      <c r="K60" s="194">
        <v>0</v>
      </c>
      <c r="L60" s="194">
        <v>93</v>
      </c>
      <c r="M60" s="194">
        <f t="shared" ref="M60" si="32">(N60+I60+K60+F60)*0.01</f>
        <v>2803.2659000000003</v>
      </c>
      <c r="N60" s="194">
        <f t="shared" ref="N60" si="33">F60/12</f>
        <v>20917.43</v>
      </c>
      <c r="O60" s="201"/>
      <c r="P60" s="201"/>
    </row>
    <row r="61" spans="1:16" s="200" customFormat="1" x14ac:dyDescent="0.2">
      <c r="A61" s="195" t="s">
        <v>488</v>
      </c>
      <c r="B61" s="195"/>
      <c r="C61" s="195" t="s">
        <v>527</v>
      </c>
      <c r="D61" s="195">
        <v>8</v>
      </c>
      <c r="E61" s="194">
        <f t="shared" ref="E61" si="34">SUM(F61:P61)</f>
        <v>390074.5111</v>
      </c>
      <c r="F61" s="194">
        <f>19549*(B$6+1)*12</f>
        <v>251009.16</v>
      </c>
      <c r="G61" s="194">
        <f t="shared" ref="G61" si="35">F61*0.22</f>
        <v>55222.015200000002</v>
      </c>
      <c r="H61" s="185">
        <f t="shared" si="24"/>
        <v>49703.64</v>
      </c>
      <c r="I61" s="194">
        <f t="shared" si="25"/>
        <v>8400</v>
      </c>
      <c r="J61" s="209">
        <v>1926</v>
      </c>
      <c r="K61" s="194">
        <v>0</v>
      </c>
      <c r="L61" s="194">
        <v>93</v>
      </c>
      <c r="M61" s="194">
        <f t="shared" ref="M61" si="36">(N61+I61+K61+F61)*0.01</f>
        <v>2803.2659000000003</v>
      </c>
      <c r="N61" s="194">
        <f t="shared" ref="N61" si="37">F61/12</f>
        <v>20917.43</v>
      </c>
      <c r="O61" s="201"/>
      <c r="P61" s="201"/>
    </row>
    <row r="62" spans="1:16" x14ac:dyDescent="0.2">
      <c r="A62" s="195" t="s">
        <v>56</v>
      </c>
      <c r="C62" s="184" t="s">
        <v>537</v>
      </c>
      <c r="D62" s="184">
        <v>8</v>
      </c>
      <c r="E62" s="185">
        <f>SUM(F62:P62)</f>
        <v>424598.51050000009</v>
      </c>
      <c r="F62" s="185">
        <f>21595*(B$6+1)*12</f>
        <v>277279.80000000005</v>
      </c>
      <c r="G62" s="185">
        <f>F62*0.22</f>
        <v>61001.556000000011</v>
      </c>
      <c r="H62" s="185">
        <f t="shared" si="24"/>
        <v>49703.64</v>
      </c>
      <c r="I62" s="185">
        <f t="shared" si="25"/>
        <v>8400</v>
      </c>
      <c r="J62" s="198">
        <v>1926</v>
      </c>
      <c r="K62" s="185">
        <v>0</v>
      </c>
      <c r="L62" s="185">
        <v>93</v>
      </c>
      <c r="M62" s="185">
        <f>(N62+I62+K62+F62)*0.01</f>
        <v>3087.8645000000006</v>
      </c>
      <c r="N62" s="185">
        <f>F62/12</f>
        <v>23106.650000000005</v>
      </c>
      <c r="O62" s="185"/>
    </row>
    <row r="63" spans="1:16" x14ac:dyDescent="0.2">
      <c r="A63" s="195" t="s">
        <v>329</v>
      </c>
      <c r="C63" s="195"/>
      <c r="E63" s="185">
        <f>SUM(F63:P63)</f>
        <v>0</v>
      </c>
      <c r="F63" s="185"/>
      <c r="G63" s="185"/>
      <c r="H63" s="185"/>
      <c r="I63" s="185"/>
      <c r="J63" s="198"/>
      <c r="K63" s="185"/>
      <c r="L63" s="185"/>
      <c r="M63" s="185"/>
      <c r="N63" s="185"/>
      <c r="O63" s="185"/>
    </row>
    <row r="64" spans="1:16" s="184" customFormat="1" x14ac:dyDescent="0.2">
      <c r="A64" s="195" t="s">
        <v>164</v>
      </c>
      <c r="C64" s="195" t="s">
        <v>164</v>
      </c>
      <c r="E64" s="185">
        <f t="shared" si="26"/>
        <v>10800</v>
      </c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>
        <v>10800</v>
      </c>
    </row>
    <row r="65" spans="1:112" ht="13.5" thickBot="1" x14ac:dyDescent="0.25">
      <c r="E65" s="205">
        <f t="shared" ref="E65:N65" si="38">SUM(E56:E64)</f>
        <v>2896240.8536</v>
      </c>
      <c r="F65" s="205">
        <f t="shared" si="38"/>
        <v>1874948.16</v>
      </c>
      <c r="G65" s="205">
        <f t="shared" si="38"/>
        <v>412488.5952000001</v>
      </c>
      <c r="H65" s="205">
        <f t="shared" si="38"/>
        <v>347925.48000000004</v>
      </c>
      <c r="I65" s="205">
        <f t="shared" si="38"/>
        <v>58800</v>
      </c>
      <c r="J65" s="205">
        <f t="shared" si="38"/>
        <v>13482</v>
      </c>
      <c r="K65" s="205">
        <f t="shared" si="38"/>
        <v>0</v>
      </c>
      <c r="L65" s="205">
        <f t="shared" si="38"/>
        <v>651</v>
      </c>
      <c r="M65" s="205">
        <f t="shared" si="38"/>
        <v>20899.938400000003</v>
      </c>
      <c r="N65" s="205">
        <f t="shared" si="38"/>
        <v>156245.68000000002</v>
      </c>
      <c r="O65" s="205"/>
      <c r="P65" s="205">
        <f>SUM(P56:P64)</f>
        <v>10800</v>
      </c>
    </row>
    <row r="66" spans="1:112" ht="13.5" thickTop="1" x14ac:dyDescent="0.2">
      <c r="C66" s="184" t="s">
        <v>199</v>
      </c>
      <c r="D66" s="184">
        <f>COUNT(D56:D65)</f>
        <v>7</v>
      </c>
    </row>
    <row r="67" spans="1:112" x14ac:dyDescent="0.2"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</row>
    <row r="68" spans="1:112" x14ac:dyDescent="0.2">
      <c r="A68" s="192" t="s">
        <v>100</v>
      </c>
    </row>
    <row r="69" spans="1:112" x14ac:dyDescent="0.2">
      <c r="C69" s="184" t="s">
        <v>176</v>
      </c>
      <c r="D69" s="193" t="s">
        <v>177</v>
      </c>
      <c r="E69" s="193" t="s">
        <v>178</v>
      </c>
      <c r="F69" s="193" t="s">
        <v>179</v>
      </c>
      <c r="G69" s="193" t="s">
        <v>180</v>
      </c>
      <c r="H69" s="193" t="s">
        <v>181</v>
      </c>
      <c r="I69" s="193" t="s">
        <v>182</v>
      </c>
      <c r="J69" s="193" t="s">
        <v>183</v>
      </c>
      <c r="K69" s="193" t="s">
        <v>184</v>
      </c>
      <c r="L69" s="193" t="s">
        <v>185</v>
      </c>
      <c r="M69" s="193" t="s">
        <v>186</v>
      </c>
      <c r="N69" s="193" t="s">
        <v>187</v>
      </c>
      <c r="O69" s="193" t="s">
        <v>444</v>
      </c>
      <c r="P69" s="185" t="s">
        <v>164</v>
      </c>
    </row>
    <row r="70" spans="1:112" x14ac:dyDescent="0.2">
      <c r="D70" s="193" t="s">
        <v>188</v>
      </c>
      <c r="E70" s="193" t="s">
        <v>189</v>
      </c>
      <c r="F70" s="193"/>
      <c r="G70" s="193" t="s">
        <v>190</v>
      </c>
      <c r="H70" s="193" t="s">
        <v>190</v>
      </c>
      <c r="I70" s="193" t="s">
        <v>191</v>
      </c>
      <c r="J70" s="193"/>
      <c r="K70" s="193" t="s">
        <v>192</v>
      </c>
      <c r="L70" s="193" t="s">
        <v>193</v>
      </c>
      <c r="M70" s="193" t="s">
        <v>194</v>
      </c>
      <c r="N70" s="193" t="s">
        <v>195</v>
      </c>
      <c r="O70" s="193" t="s">
        <v>192</v>
      </c>
    </row>
    <row r="71" spans="1:112" x14ac:dyDescent="0.2">
      <c r="A71" s="210" t="s">
        <v>707</v>
      </c>
      <c r="C71" s="184" t="s">
        <v>68</v>
      </c>
      <c r="D71" s="184">
        <v>0</v>
      </c>
      <c r="E71" s="185">
        <f t="shared" ref="E71:E74" si="39">SUM(F71:P71)</f>
        <v>1874534.6846000003</v>
      </c>
      <c r="F71" s="185">
        <f>87914*(B$6+1)*12</f>
        <v>1128815.7600000002</v>
      </c>
      <c r="G71" s="185">
        <f t="shared" ref="G71:G74" si="40">F71*0.22</f>
        <v>248339.46720000004</v>
      </c>
      <c r="H71" s="185">
        <f t="shared" ref="H71:H101" si="41">3871*(B$7+1)*12</f>
        <v>49703.64</v>
      </c>
      <c r="I71" s="185">
        <v>0</v>
      </c>
      <c r="J71" s="198">
        <v>1926</v>
      </c>
      <c r="K71" s="185">
        <f>28000*12</f>
        <v>336000</v>
      </c>
      <c r="L71" s="185">
        <v>93</v>
      </c>
      <c r="M71" s="185">
        <f t="shared" ref="M71:M74" si="42">(N71+I71+K71+F71)*0.01</f>
        <v>15588.837400000002</v>
      </c>
      <c r="N71" s="185">
        <f t="shared" ref="N71:N74" si="43">F71/12</f>
        <v>94067.980000000025</v>
      </c>
      <c r="O71" s="185"/>
    </row>
    <row r="72" spans="1:112" s="203" customFormat="1" x14ac:dyDescent="0.2">
      <c r="A72" s="211" t="s">
        <v>725</v>
      </c>
      <c r="B72" s="200"/>
      <c r="C72" s="200" t="s">
        <v>34</v>
      </c>
      <c r="D72" s="200">
        <v>8</v>
      </c>
      <c r="E72" s="201"/>
      <c r="F72" s="201"/>
      <c r="G72" s="201"/>
      <c r="H72" s="201"/>
      <c r="I72" s="201"/>
      <c r="J72" s="202"/>
      <c r="K72" s="201"/>
      <c r="L72" s="201"/>
      <c r="M72" s="201"/>
      <c r="N72" s="201"/>
      <c r="O72" s="201"/>
      <c r="P72" s="201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</row>
    <row r="73" spans="1:112" s="203" customFormat="1" x14ac:dyDescent="0.2">
      <c r="A73" s="211" t="s">
        <v>712</v>
      </c>
      <c r="B73" s="200"/>
      <c r="C73" s="200" t="s">
        <v>34</v>
      </c>
      <c r="D73" s="200">
        <v>1</v>
      </c>
      <c r="E73" s="201"/>
      <c r="F73" s="201"/>
      <c r="G73" s="201"/>
      <c r="H73" s="201"/>
      <c r="I73" s="201"/>
      <c r="J73" s="202"/>
      <c r="K73" s="201"/>
      <c r="L73" s="201"/>
      <c r="M73" s="201"/>
      <c r="N73" s="201"/>
      <c r="O73" s="201"/>
      <c r="P73" s="201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</row>
    <row r="74" spans="1:112" s="204" customFormat="1" x14ac:dyDescent="0.2">
      <c r="A74" s="210" t="s">
        <v>708</v>
      </c>
      <c r="B74" s="184"/>
      <c r="C74" s="195" t="s">
        <v>540</v>
      </c>
      <c r="D74" s="184">
        <v>2</v>
      </c>
      <c r="E74" s="185">
        <f t="shared" si="39"/>
        <v>1011804.6731000001</v>
      </c>
      <c r="F74" s="185">
        <f>47129*(B$6+1)*12</f>
        <v>605136.3600000001</v>
      </c>
      <c r="G74" s="185">
        <f t="shared" si="40"/>
        <v>133129.99920000002</v>
      </c>
      <c r="H74" s="185">
        <f t="shared" si="41"/>
        <v>49703.64</v>
      </c>
      <c r="I74" s="185">
        <f t="shared" ref="I74:I101" si="44">700*12</f>
        <v>8400</v>
      </c>
      <c r="J74" s="198">
        <v>1926</v>
      </c>
      <c r="K74" s="194">
        <f t="shared" ref="K74:K77" si="45">12900*12</f>
        <v>154800</v>
      </c>
      <c r="L74" s="185">
        <v>93</v>
      </c>
      <c r="M74" s="185">
        <f t="shared" si="42"/>
        <v>8187.6439000000018</v>
      </c>
      <c r="N74" s="185">
        <f t="shared" si="43"/>
        <v>50428.030000000006</v>
      </c>
      <c r="O74" s="185"/>
      <c r="P74" s="185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</row>
    <row r="75" spans="1:112" s="204" customFormat="1" x14ac:dyDescent="0.2">
      <c r="A75" s="195" t="s">
        <v>709</v>
      </c>
      <c r="B75" s="184"/>
      <c r="C75" s="184" t="s">
        <v>109</v>
      </c>
      <c r="D75" s="184">
        <v>2</v>
      </c>
      <c r="E75" s="185">
        <f t="shared" ref="E75:E109" si="46">SUM(F75:P75)</f>
        <v>1011804.6731000001</v>
      </c>
      <c r="F75" s="185">
        <f>47129*(B$6+1)*12</f>
        <v>605136.3600000001</v>
      </c>
      <c r="G75" s="185">
        <f t="shared" ref="G75:G80" si="47">F75*0.22</f>
        <v>133129.99920000002</v>
      </c>
      <c r="H75" s="185">
        <f t="shared" si="41"/>
        <v>49703.64</v>
      </c>
      <c r="I75" s="185">
        <f t="shared" si="44"/>
        <v>8400</v>
      </c>
      <c r="J75" s="198">
        <v>1926</v>
      </c>
      <c r="K75" s="194">
        <f t="shared" si="45"/>
        <v>154800</v>
      </c>
      <c r="L75" s="185">
        <v>93</v>
      </c>
      <c r="M75" s="185">
        <f t="shared" ref="M75:M101" si="48">(N75+I75+K75+F75)*0.01</f>
        <v>8187.6439000000018</v>
      </c>
      <c r="N75" s="185">
        <f t="shared" ref="N75:N82" si="49">F75/12</f>
        <v>50428.030000000006</v>
      </c>
      <c r="O75" s="185"/>
      <c r="P75" s="185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</row>
    <row r="76" spans="1:112" x14ac:dyDescent="0.2">
      <c r="A76" s="195" t="s">
        <v>711</v>
      </c>
      <c r="C76" s="195" t="s">
        <v>541</v>
      </c>
      <c r="D76" s="184">
        <v>2</v>
      </c>
      <c r="E76" s="185">
        <f t="shared" ref="E76" si="50">SUM(F76:P76)</f>
        <v>1011804.6731000001</v>
      </c>
      <c r="F76" s="185">
        <f>47129*(B$6+1)*12</f>
        <v>605136.3600000001</v>
      </c>
      <c r="G76" s="185">
        <f t="shared" si="47"/>
        <v>133129.99920000002</v>
      </c>
      <c r="H76" s="185">
        <f t="shared" si="41"/>
        <v>49703.64</v>
      </c>
      <c r="I76" s="185">
        <f t="shared" si="44"/>
        <v>8400</v>
      </c>
      <c r="J76" s="198">
        <v>1926</v>
      </c>
      <c r="K76" s="194">
        <f t="shared" si="45"/>
        <v>154800</v>
      </c>
      <c r="L76" s="185">
        <v>93</v>
      </c>
      <c r="M76" s="185">
        <f t="shared" si="48"/>
        <v>8187.6439000000018</v>
      </c>
      <c r="N76" s="185">
        <f t="shared" si="49"/>
        <v>50428.030000000006</v>
      </c>
      <c r="O76" s="185"/>
    </row>
    <row r="77" spans="1:112" x14ac:dyDescent="0.2">
      <c r="A77" s="195" t="s">
        <v>710</v>
      </c>
      <c r="C77" s="195" t="s">
        <v>368</v>
      </c>
      <c r="D77" s="184">
        <v>2</v>
      </c>
      <c r="E77" s="185">
        <f t="shared" ref="E77" si="51">SUM(F77:P77)</f>
        <v>1011804.6731000001</v>
      </c>
      <c r="F77" s="185">
        <f>47129*(B$6+1)*12</f>
        <v>605136.3600000001</v>
      </c>
      <c r="G77" s="185">
        <f>F77*0.22</f>
        <v>133129.99920000002</v>
      </c>
      <c r="H77" s="185">
        <f t="shared" si="41"/>
        <v>49703.64</v>
      </c>
      <c r="I77" s="185">
        <f t="shared" si="44"/>
        <v>8400</v>
      </c>
      <c r="J77" s="198">
        <v>1926</v>
      </c>
      <c r="K77" s="194">
        <f t="shared" si="45"/>
        <v>154800</v>
      </c>
      <c r="L77" s="185">
        <v>93</v>
      </c>
      <c r="M77" s="185">
        <f>(N77+I77+K77+F77)*0.01</f>
        <v>8187.6439000000018</v>
      </c>
      <c r="N77" s="185">
        <f t="shared" si="49"/>
        <v>50428.030000000006</v>
      </c>
      <c r="O77" s="185"/>
    </row>
    <row r="78" spans="1:112" s="212" customFormat="1" x14ac:dyDescent="0.2">
      <c r="A78" s="195" t="s">
        <v>713</v>
      </c>
      <c r="B78" s="195"/>
      <c r="C78" s="195" t="s">
        <v>542</v>
      </c>
      <c r="D78" s="195" t="s">
        <v>348</v>
      </c>
      <c r="E78" s="194">
        <f t="shared" si="46"/>
        <v>912075.38430000003</v>
      </c>
      <c r="F78" s="194">
        <f>41937*(B$6+1)*12</f>
        <v>538471.08000000007</v>
      </c>
      <c r="G78" s="194">
        <f t="shared" si="47"/>
        <v>118463.63760000002</v>
      </c>
      <c r="H78" s="194">
        <f t="shared" si="41"/>
        <v>49703.64</v>
      </c>
      <c r="I78" s="194">
        <f t="shared" si="44"/>
        <v>8400</v>
      </c>
      <c r="J78" s="209">
        <v>1926</v>
      </c>
      <c r="K78" s="194">
        <f>11900*12</f>
        <v>142800</v>
      </c>
      <c r="L78" s="194">
        <v>93</v>
      </c>
      <c r="M78" s="194">
        <f t="shared" si="48"/>
        <v>7345.4367000000002</v>
      </c>
      <c r="N78" s="194">
        <f t="shared" si="49"/>
        <v>44872.590000000004</v>
      </c>
      <c r="O78" s="194"/>
      <c r="P78" s="194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</row>
    <row r="79" spans="1:112" x14ac:dyDescent="0.2">
      <c r="A79" s="195" t="s">
        <v>714</v>
      </c>
      <c r="C79" s="184" t="s">
        <v>365</v>
      </c>
      <c r="D79" s="184" t="s">
        <v>348</v>
      </c>
      <c r="E79" s="185">
        <f t="shared" si="46"/>
        <v>912075.38430000003</v>
      </c>
      <c r="F79" s="185">
        <f>41937*(B$6+1)*12</f>
        <v>538471.08000000007</v>
      </c>
      <c r="G79" s="185">
        <f t="shared" si="47"/>
        <v>118463.63760000002</v>
      </c>
      <c r="H79" s="185">
        <f t="shared" si="41"/>
        <v>49703.64</v>
      </c>
      <c r="I79" s="185">
        <f t="shared" si="44"/>
        <v>8400</v>
      </c>
      <c r="J79" s="198">
        <v>1926</v>
      </c>
      <c r="K79" s="185">
        <f t="shared" ref="K79:K80" si="52">11900*12</f>
        <v>142800</v>
      </c>
      <c r="L79" s="185">
        <v>93</v>
      </c>
      <c r="M79" s="185">
        <f t="shared" si="48"/>
        <v>7345.4367000000002</v>
      </c>
      <c r="N79" s="185">
        <f>F79/12</f>
        <v>44872.590000000004</v>
      </c>
      <c r="O79" s="185"/>
    </row>
    <row r="80" spans="1:112" x14ac:dyDescent="0.2">
      <c r="A80" s="195" t="s">
        <v>715</v>
      </c>
      <c r="C80" s="184" t="s">
        <v>517</v>
      </c>
      <c r="D80" s="184" t="s">
        <v>348</v>
      </c>
      <c r="E80" s="185">
        <f t="shared" si="46"/>
        <v>912075.38430000003</v>
      </c>
      <c r="F80" s="185">
        <f>41937*(B$6+1)*12</f>
        <v>538471.08000000007</v>
      </c>
      <c r="G80" s="185">
        <f t="shared" si="47"/>
        <v>118463.63760000002</v>
      </c>
      <c r="H80" s="185">
        <f t="shared" si="41"/>
        <v>49703.64</v>
      </c>
      <c r="I80" s="185">
        <f t="shared" si="44"/>
        <v>8400</v>
      </c>
      <c r="J80" s="198">
        <v>1926</v>
      </c>
      <c r="K80" s="185">
        <f t="shared" si="52"/>
        <v>142800</v>
      </c>
      <c r="L80" s="185">
        <v>93</v>
      </c>
      <c r="M80" s="185">
        <f t="shared" si="48"/>
        <v>7345.4367000000002</v>
      </c>
      <c r="N80" s="185">
        <f>F80/12</f>
        <v>44872.590000000004</v>
      </c>
      <c r="O80" s="185"/>
    </row>
    <row r="81" spans="1:112" x14ac:dyDescent="0.2">
      <c r="A81" s="195" t="s">
        <v>718</v>
      </c>
      <c r="C81" s="184" t="s">
        <v>25</v>
      </c>
      <c r="D81" s="184">
        <v>6</v>
      </c>
      <c r="E81" s="185">
        <f t="shared" si="46"/>
        <v>656499.08219999995</v>
      </c>
      <c r="F81" s="185">
        <f>28098*(B$6+1)*12</f>
        <v>360778.32</v>
      </c>
      <c r="G81" s="185">
        <f t="shared" ref="G81:G101" si="53">F81*0.22</f>
        <v>79371.2304</v>
      </c>
      <c r="H81" s="185">
        <f t="shared" si="41"/>
        <v>49703.64</v>
      </c>
      <c r="I81" s="185">
        <f t="shared" si="44"/>
        <v>8400</v>
      </c>
      <c r="J81" s="198">
        <v>1926</v>
      </c>
      <c r="K81" s="185">
        <f>10080*12</f>
        <v>120960</v>
      </c>
      <c r="L81" s="185">
        <v>93</v>
      </c>
      <c r="M81" s="185">
        <f t="shared" si="48"/>
        <v>5202.0317999999997</v>
      </c>
      <c r="N81" s="185">
        <f t="shared" si="49"/>
        <v>30064.86</v>
      </c>
      <c r="O81" s="185"/>
    </row>
    <row r="82" spans="1:112" x14ac:dyDescent="0.2">
      <c r="A82" s="195" t="s">
        <v>717</v>
      </c>
      <c r="C82" s="184" t="s">
        <v>349</v>
      </c>
      <c r="D82" s="184">
        <v>6</v>
      </c>
      <c r="E82" s="185">
        <f t="shared" si="46"/>
        <v>534329.48220000009</v>
      </c>
      <c r="F82" s="185">
        <f>28098*(B$6+1)*12</f>
        <v>360778.32</v>
      </c>
      <c r="G82" s="185">
        <f>F82*0.22</f>
        <v>79371.2304</v>
      </c>
      <c r="H82" s="185">
        <f t="shared" si="41"/>
        <v>49703.64</v>
      </c>
      <c r="I82" s="185">
        <f t="shared" si="44"/>
        <v>8400</v>
      </c>
      <c r="J82" s="198">
        <v>1926</v>
      </c>
      <c r="K82" s="185">
        <v>0</v>
      </c>
      <c r="L82" s="185">
        <v>93</v>
      </c>
      <c r="M82" s="185">
        <f t="shared" si="48"/>
        <v>3992.4317999999998</v>
      </c>
      <c r="N82" s="185">
        <f t="shared" si="49"/>
        <v>30064.86</v>
      </c>
      <c r="O82" s="185"/>
    </row>
    <row r="83" spans="1:112" x14ac:dyDescent="0.2">
      <c r="A83" s="195" t="s">
        <v>716</v>
      </c>
      <c r="C83" s="195" t="s">
        <v>291</v>
      </c>
      <c r="D83" s="184">
        <v>5</v>
      </c>
      <c r="E83" s="185">
        <f t="shared" ref="E83" si="54">SUM(F83:P83)</f>
        <v>718949.3861</v>
      </c>
      <c r="F83" s="185">
        <f>31799*(B$6+1)*12</f>
        <v>408299.16000000003</v>
      </c>
      <c r="G83" s="185">
        <f t="shared" ref="G83" si="55">F83*0.22</f>
        <v>89825.815200000012</v>
      </c>
      <c r="H83" s="185">
        <f t="shared" si="41"/>
        <v>49703.64</v>
      </c>
      <c r="I83" s="185">
        <f t="shared" si="44"/>
        <v>8400</v>
      </c>
      <c r="J83" s="198">
        <v>1926</v>
      </c>
      <c r="K83" s="185">
        <f t="shared" ref="K83" si="56">10080*12</f>
        <v>120960</v>
      </c>
      <c r="L83" s="185">
        <v>93</v>
      </c>
      <c r="M83" s="185">
        <f t="shared" si="48"/>
        <v>5716.8409000000011</v>
      </c>
      <c r="N83" s="185">
        <f>F83/12</f>
        <v>34024.93</v>
      </c>
      <c r="O83" s="185"/>
    </row>
    <row r="84" spans="1:112" x14ac:dyDescent="0.2">
      <c r="A84" s="195" t="s">
        <v>719</v>
      </c>
      <c r="C84" s="184" t="s">
        <v>26</v>
      </c>
      <c r="D84" s="184">
        <v>6</v>
      </c>
      <c r="E84" s="185">
        <f t="shared" si="46"/>
        <v>534329.48220000009</v>
      </c>
      <c r="F84" s="185">
        <f>28098*(B$6+1)*12</f>
        <v>360778.32</v>
      </c>
      <c r="G84" s="185">
        <f t="shared" si="53"/>
        <v>79371.2304</v>
      </c>
      <c r="H84" s="185">
        <f t="shared" si="41"/>
        <v>49703.64</v>
      </c>
      <c r="I84" s="185">
        <f t="shared" si="44"/>
        <v>8400</v>
      </c>
      <c r="J84" s="198">
        <v>1926</v>
      </c>
      <c r="K84" s="185">
        <v>0</v>
      </c>
      <c r="L84" s="185">
        <v>93</v>
      </c>
      <c r="M84" s="185">
        <f t="shared" si="48"/>
        <v>3992.4317999999998</v>
      </c>
      <c r="N84" s="185">
        <f t="shared" ref="N84:N101" si="57">F84/12</f>
        <v>30064.86</v>
      </c>
      <c r="O84" s="185"/>
    </row>
    <row r="85" spans="1:112" x14ac:dyDescent="0.2">
      <c r="A85" s="195" t="s">
        <v>717</v>
      </c>
      <c r="C85" s="195" t="s">
        <v>506</v>
      </c>
      <c r="D85" s="184">
        <v>6</v>
      </c>
      <c r="E85" s="185">
        <f t="shared" si="46"/>
        <v>489714.89060000004</v>
      </c>
      <c r="F85" s="185">
        <f>25454*(B$6+1)*12</f>
        <v>326829.36000000004</v>
      </c>
      <c r="G85" s="185">
        <f>F85*0.22</f>
        <v>71902.459200000012</v>
      </c>
      <c r="H85" s="185">
        <f t="shared" si="41"/>
        <v>49703.64</v>
      </c>
      <c r="I85" s="185">
        <f t="shared" si="44"/>
        <v>8400</v>
      </c>
      <c r="J85" s="198">
        <v>1926</v>
      </c>
      <c r="K85" s="185">
        <v>0</v>
      </c>
      <c r="L85" s="185">
        <v>93</v>
      </c>
      <c r="M85" s="185">
        <f t="shared" si="48"/>
        <v>3624.6514000000002</v>
      </c>
      <c r="N85" s="185">
        <f t="shared" si="57"/>
        <v>27235.780000000002</v>
      </c>
      <c r="O85" s="185"/>
    </row>
    <row r="86" spans="1:112" x14ac:dyDescent="0.2">
      <c r="A86" s="195" t="s">
        <v>721</v>
      </c>
      <c r="C86" s="195" t="s">
        <v>31</v>
      </c>
      <c r="D86" s="184">
        <v>8</v>
      </c>
      <c r="E86" s="185">
        <f t="shared" si="46"/>
        <v>424598.51050000009</v>
      </c>
      <c r="F86" s="185">
        <f>21595*(B$6+1)*12</f>
        <v>277279.80000000005</v>
      </c>
      <c r="G86" s="185">
        <f>F86*0.22</f>
        <v>61001.556000000011</v>
      </c>
      <c r="H86" s="185">
        <f t="shared" si="41"/>
        <v>49703.64</v>
      </c>
      <c r="I86" s="185">
        <f t="shared" si="44"/>
        <v>8400</v>
      </c>
      <c r="J86" s="198">
        <v>1926</v>
      </c>
      <c r="K86" s="185">
        <v>0</v>
      </c>
      <c r="L86" s="185">
        <v>93</v>
      </c>
      <c r="M86" s="185">
        <f t="shared" si="48"/>
        <v>3087.8645000000006</v>
      </c>
      <c r="N86" s="185">
        <f t="shared" si="57"/>
        <v>23106.650000000005</v>
      </c>
      <c r="O86" s="185"/>
    </row>
    <row r="87" spans="1:112" s="203" customFormat="1" x14ac:dyDescent="0.2">
      <c r="A87" s="200" t="s">
        <v>721</v>
      </c>
      <c r="B87" s="200"/>
      <c r="C87" s="200" t="s">
        <v>34</v>
      </c>
      <c r="D87" s="200">
        <v>8</v>
      </c>
      <c r="E87" s="201">
        <f t="shared" ref="E87" si="58">SUM(F87:P87)</f>
        <v>0</v>
      </c>
      <c r="F87" s="201">
        <v>0</v>
      </c>
      <c r="G87" s="201">
        <f>F87*0.22</f>
        <v>0</v>
      </c>
      <c r="H87" s="201">
        <v>0</v>
      </c>
      <c r="I87" s="201">
        <v>0</v>
      </c>
      <c r="J87" s="202">
        <v>0</v>
      </c>
      <c r="K87" s="201">
        <v>0</v>
      </c>
      <c r="L87" s="201">
        <v>0</v>
      </c>
      <c r="M87" s="201">
        <f t="shared" ref="M87" si="59">(N87+I87+K87+F87)*0.01</f>
        <v>0</v>
      </c>
      <c r="N87" s="201">
        <f t="shared" ref="N87" si="60">F87/12</f>
        <v>0</v>
      </c>
      <c r="O87" s="201"/>
      <c r="P87" s="201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</row>
    <row r="88" spans="1:112" x14ac:dyDescent="0.2">
      <c r="A88" s="195" t="s">
        <v>49</v>
      </c>
      <c r="C88" s="184" t="s">
        <v>28</v>
      </c>
      <c r="D88" s="184">
        <v>8</v>
      </c>
      <c r="E88" s="185">
        <f t="shared" si="46"/>
        <v>531012.11050000007</v>
      </c>
      <c r="F88" s="185">
        <f>21595*(B$6+1)*12</f>
        <v>277279.80000000005</v>
      </c>
      <c r="G88" s="185">
        <f t="shared" si="53"/>
        <v>61001.556000000011</v>
      </c>
      <c r="H88" s="185">
        <f t="shared" si="41"/>
        <v>49703.64</v>
      </c>
      <c r="I88" s="185">
        <f t="shared" si="44"/>
        <v>8400</v>
      </c>
      <c r="J88" s="198">
        <v>1926</v>
      </c>
      <c r="K88" s="185">
        <f>8780*12</f>
        <v>105360</v>
      </c>
      <c r="L88" s="185">
        <v>93</v>
      </c>
      <c r="M88" s="185">
        <f t="shared" si="48"/>
        <v>4141.464500000001</v>
      </c>
      <c r="N88" s="185">
        <f t="shared" si="57"/>
        <v>23106.650000000005</v>
      </c>
      <c r="O88" s="185"/>
    </row>
    <row r="89" spans="1:112" x14ac:dyDescent="0.2">
      <c r="A89" s="195" t="s">
        <v>49</v>
      </c>
      <c r="C89" s="184" t="s">
        <v>27</v>
      </c>
      <c r="D89" s="184">
        <v>7</v>
      </c>
      <c r="E89" s="185">
        <f t="shared" ref="E89:E90" si="61">SUM(F89:P89)</f>
        <v>568721.05440000002</v>
      </c>
      <c r="F89" s="185">
        <f>22896*(B$6+1)*12</f>
        <v>293984.64000000001</v>
      </c>
      <c r="G89" s="185">
        <f t="shared" ref="G89" si="62">F89*0.22</f>
        <v>64676.620800000004</v>
      </c>
      <c r="H89" s="185">
        <f t="shared" ref="H89:H90" si="63">3871*(B$7+1)*12</f>
        <v>49703.64</v>
      </c>
      <c r="I89" s="185">
        <f t="shared" si="44"/>
        <v>8400</v>
      </c>
      <c r="J89" s="198">
        <v>1926</v>
      </c>
      <c r="K89" s="185">
        <f>10080*12</f>
        <v>120960</v>
      </c>
      <c r="L89" s="185">
        <v>93</v>
      </c>
      <c r="M89" s="185">
        <f t="shared" ref="M89:M90" si="64">(N89+I89+K89+F89)*0.01</f>
        <v>4478.4336000000003</v>
      </c>
      <c r="N89" s="185">
        <f t="shared" ref="N89" si="65">F89/12</f>
        <v>24498.720000000001</v>
      </c>
      <c r="O89" s="185"/>
    </row>
    <row r="90" spans="1:112" x14ac:dyDescent="0.2">
      <c r="A90" s="195" t="s">
        <v>49</v>
      </c>
      <c r="B90" s="213"/>
      <c r="C90" s="184" t="s">
        <v>366</v>
      </c>
      <c r="D90" s="184">
        <v>8</v>
      </c>
      <c r="E90" s="185">
        <f t="shared" si="61"/>
        <v>531012.11050000007</v>
      </c>
      <c r="F90" s="185">
        <f>21595*(B$6+1)*12</f>
        <v>277279.80000000005</v>
      </c>
      <c r="G90" s="185">
        <f>F90*0.22</f>
        <v>61001.556000000011</v>
      </c>
      <c r="H90" s="185">
        <f t="shared" si="63"/>
        <v>49703.64</v>
      </c>
      <c r="I90" s="185">
        <f t="shared" si="44"/>
        <v>8400</v>
      </c>
      <c r="J90" s="198">
        <v>1926</v>
      </c>
      <c r="K90" s="185">
        <f>8780*12</f>
        <v>105360</v>
      </c>
      <c r="L90" s="185">
        <v>93</v>
      </c>
      <c r="M90" s="185">
        <f t="shared" si="64"/>
        <v>4141.464500000001</v>
      </c>
      <c r="N90" s="185">
        <f>F90/12</f>
        <v>23106.650000000005</v>
      </c>
      <c r="O90" s="185"/>
    </row>
    <row r="91" spans="1:112" x14ac:dyDescent="0.2">
      <c r="A91" s="200" t="s">
        <v>49</v>
      </c>
      <c r="B91" s="214"/>
      <c r="C91" s="200" t="s">
        <v>34</v>
      </c>
      <c r="D91" s="200">
        <v>8</v>
      </c>
      <c r="E91" s="185"/>
      <c r="F91" s="185"/>
      <c r="G91" s="185"/>
      <c r="H91" s="185"/>
      <c r="I91" s="185"/>
      <c r="J91" s="198"/>
      <c r="K91" s="185"/>
      <c r="L91" s="185"/>
      <c r="M91" s="185"/>
      <c r="N91" s="185"/>
      <c r="O91" s="185"/>
    </row>
    <row r="92" spans="1:112" s="212" customFormat="1" x14ac:dyDescent="0.2">
      <c r="A92" s="195" t="s">
        <v>425</v>
      </c>
      <c r="B92" s="195"/>
      <c r="C92" s="195" t="s">
        <v>34</v>
      </c>
      <c r="D92" s="195">
        <v>5</v>
      </c>
      <c r="E92" s="194">
        <f t="shared" ref="E92:E93" si="66">SUM(F92:P92)</f>
        <v>688581.99073333328</v>
      </c>
      <c r="F92" s="194">
        <f>359992*(B$6+1)</f>
        <v>385191.44</v>
      </c>
      <c r="G92" s="194">
        <f t="shared" si="53"/>
        <v>84742.116800000003</v>
      </c>
      <c r="H92" s="185">
        <f t="shared" si="41"/>
        <v>49703.64</v>
      </c>
      <c r="I92" s="194">
        <f t="shared" si="44"/>
        <v>8400</v>
      </c>
      <c r="J92" s="209">
        <v>1926</v>
      </c>
      <c r="K92" s="194">
        <f t="shared" ref="K92" si="67">10080*12</f>
        <v>120960</v>
      </c>
      <c r="L92" s="194">
        <v>93</v>
      </c>
      <c r="M92" s="194">
        <f t="shared" ref="M92" si="68">(N92+I92+K92+F92)*0.01</f>
        <v>5466.5072666666665</v>
      </c>
      <c r="N92" s="194">
        <f>F92/12</f>
        <v>32099.286666666667</v>
      </c>
      <c r="O92" s="194"/>
      <c r="P92" s="194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195"/>
      <c r="DG92" s="195"/>
      <c r="DH92" s="195"/>
    </row>
    <row r="93" spans="1:112" s="203" customFormat="1" x14ac:dyDescent="0.2">
      <c r="A93" s="200" t="s">
        <v>722</v>
      </c>
      <c r="B93" s="200"/>
      <c r="C93" s="200" t="s">
        <v>34</v>
      </c>
      <c r="D93" s="200">
        <v>6</v>
      </c>
      <c r="E93" s="201">
        <f t="shared" si="66"/>
        <v>0</v>
      </c>
      <c r="F93" s="201"/>
      <c r="G93" s="201"/>
      <c r="H93" s="201"/>
      <c r="I93" s="201"/>
      <c r="J93" s="202"/>
      <c r="K93" s="201"/>
      <c r="L93" s="201"/>
      <c r="M93" s="201"/>
      <c r="N93" s="201"/>
      <c r="O93" s="201"/>
      <c r="P93" s="201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</row>
    <row r="94" spans="1:112" x14ac:dyDescent="0.2">
      <c r="A94" s="195" t="s">
        <v>288</v>
      </c>
      <c r="C94" s="195" t="s">
        <v>518</v>
      </c>
      <c r="D94" s="184">
        <v>8</v>
      </c>
      <c r="E94" s="185">
        <f t="shared" si="46"/>
        <v>424598.51050000009</v>
      </c>
      <c r="F94" s="185">
        <f>21595*(B$6+1)*12</f>
        <v>277279.80000000005</v>
      </c>
      <c r="G94" s="185">
        <f t="shared" si="53"/>
        <v>61001.556000000011</v>
      </c>
      <c r="H94" s="185">
        <f t="shared" si="41"/>
        <v>49703.64</v>
      </c>
      <c r="I94" s="185">
        <f t="shared" si="44"/>
        <v>8400</v>
      </c>
      <c r="J94" s="198">
        <v>1926</v>
      </c>
      <c r="K94" s="185">
        <v>0</v>
      </c>
      <c r="L94" s="185">
        <v>93</v>
      </c>
      <c r="M94" s="185">
        <f t="shared" si="48"/>
        <v>3087.8645000000006</v>
      </c>
      <c r="N94" s="185">
        <f t="shared" si="57"/>
        <v>23106.650000000005</v>
      </c>
      <c r="O94" s="185"/>
    </row>
    <row r="95" spans="1:112" x14ac:dyDescent="0.2">
      <c r="A95" s="195" t="s">
        <v>723</v>
      </c>
      <c r="C95" s="195" t="s">
        <v>34</v>
      </c>
      <c r="D95" s="184">
        <v>5</v>
      </c>
      <c r="E95" s="185">
        <f t="shared" ref="E95:E97" si="69">SUM(F95:P95)</f>
        <v>718949.3861</v>
      </c>
      <c r="F95" s="185">
        <f>31799*(B$6+1)*12</f>
        <v>408299.16000000003</v>
      </c>
      <c r="G95" s="185">
        <f t="shared" si="53"/>
        <v>89825.815200000012</v>
      </c>
      <c r="H95" s="185">
        <f t="shared" ref="H95:H97" si="70">3871*(B$7+1)*12</f>
        <v>49703.64</v>
      </c>
      <c r="I95" s="185">
        <f t="shared" si="44"/>
        <v>8400</v>
      </c>
      <c r="J95" s="198">
        <v>1926</v>
      </c>
      <c r="K95" s="185">
        <f t="shared" ref="K95" si="71">10080*12</f>
        <v>120960</v>
      </c>
      <c r="L95" s="185">
        <v>93</v>
      </c>
      <c r="M95" s="185">
        <f t="shared" ref="M95:M97" si="72">(N95+I95+K95+F95)*0.01</f>
        <v>5716.8409000000011</v>
      </c>
      <c r="N95" s="185">
        <f>F95/12</f>
        <v>34024.93</v>
      </c>
      <c r="O95" s="185"/>
    </row>
    <row r="96" spans="1:112" s="203" customFormat="1" x14ac:dyDescent="0.2">
      <c r="A96" s="200" t="s">
        <v>428</v>
      </c>
      <c r="B96" s="200"/>
      <c r="C96" s="200" t="s">
        <v>34</v>
      </c>
      <c r="D96" s="200">
        <v>8</v>
      </c>
      <c r="E96" s="185">
        <f t="shared" si="69"/>
        <v>424598.51050000009</v>
      </c>
      <c r="F96" s="185">
        <f t="shared" ref="F96:F97" si="73">21595*(B$6+1)*12</f>
        <v>277279.80000000005</v>
      </c>
      <c r="G96" s="185">
        <f t="shared" ref="G96:G97" si="74">F96*0.22</f>
        <v>61001.556000000011</v>
      </c>
      <c r="H96" s="185">
        <f t="shared" si="70"/>
        <v>49703.64</v>
      </c>
      <c r="I96" s="185">
        <f t="shared" si="44"/>
        <v>8400</v>
      </c>
      <c r="J96" s="198">
        <v>1926</v>
      </c>
      <c r="K96" s="185">
        <v>0</v>
      </c>
      <c r="L96" s="185">
        <v>93</v>
      </c>
      <c r="M96" s="185">
        <f t="shared" si="72"/>
        <v>3087.8645000000006</v>
      </c>
      <c r="N96" s="185">
        <f t="shared" ref="N96:N97" si="75">F96/12</f>
        <v>23106.650000000005</v>
      </c>
      <c r="O96" s="201"/>
      <c r="P96" s="201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0"/>
      <c r="DE96" s="200"/>
      <c r="DF96" s="200"/>
      <c r="DG96" s="200"/>
      <c r="DH96" s="200"/>
    </row>
    <row r="97" spans="1:112" s="203" customFormat="1" x14ac:dyDescent="0.2">
      <c r="A97" s="200" t="s">
        <v>428</v>
      </c>
      <c r="B97" s="200"/>
      <c r="C97" s="200" t="s">
        <v>34</v>
      </c>
      <c r="D97" s="200">
        <v>8</v>
      </c>
      <c r="E97" s="185">
        <f t="shared" si="69"/>
        <v>424598.51050000009</v>
      </c>
      <c r="F97" s="185">
        <f t="shared" si="73"/>
        <v>277279.80000000005</v>
      </c>
      <c r="G97" s="185">
        <f t="shared" si="74"/>
        <v>61001.556000000011</v>
      </c>
      <c r="H97" s="185">
        <f t="shared" si="70"/>
        <v>49703.64</v>
      </c>
      <c r="I97" s="185">
        <f t="shared" si="44"/>
        <v>8400</v>
      </c>
      <c r="J97" s="198">
        <v>1926</v>
      </c>
      <c r="K97" s="185">
        <v>0</v>
      </c>
      <c r="L97" s="185">
        <v>93</v>
      </c>
      <c r="M97" s="185">
        <f t="shared" si="72"/>
        <v>3087.8645000000006</v>
      </c>
      <c r="N97" s="185">
        <f t="shared" si="75"/>
        <v>23106.650000000005</v>
      </c>
      <c r="O97" s="201"/>
      <c r="P97" s="201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</row>
    <row r="98" spans="1:112" x14ac:dyDescent="0.2">
      <c r="A98" s="195" t="s">
        <v>724</v>
      </c>
      <c r="C98" s="184" t="s">
        <v>447</v>
      </c>
      <c r="D98" s="184">
        <v>8</v>
      </c>
      <c r="E98" s="185">
        <f t="shared" ref="E98" si="76">SUM(F98:P98)</f>
        <v>424598.51050000009</v>
      </c>
      <c r="F98" s="185">
        <f>21595*(B$6+1)*12</f>
        <v>277279.80000000005</v>
      </c>
      <c r="G98" s="185">
        <f t="shared" ref="G98" si="77">F98*0.22</f>
        <v>61001.556000000011</v>
      </c>
      <c r="H98" s="185">
        <f t="shared" si="41"/>
        <v>49703.64</v>
      </c>
      <c r="I98" s="185">
        <f t="shared" si="44"/>
        <v>8400</v>
      </c>
      <c r="J98" s="198">
        <v>1926</v>
      </c>
      <c r="K98" s="185">
        <f t="shared" ref="K98:K101" si="78">0*12</f>
        <v>0</v>
      </c>
      <c r="L98" s="185">
        <v>93</v>
      </c>
      <c r="M98" s="185">
        <f t="shared" ref="M98" si="79">(N98+I98+K98+F98)*0.01</f>
        <v>3087.8645000000006</v>
      </c>
      <c r="N98" s="185">
        <f t="shared" ref="N98" si="80">F98/12</f>
        <v>23106.650000000005</v>
      </c>
      <c r="O98" s="185"/>
    </row>
    <row r="99" spans="1:112" x14ac:dyDescent="0.2">
      <c r="A99" s="195" t="s">
        <v>724</v>
      </c>
      <c r="C99" s="184" t="s">
        <v>29</v>
      </c>
      <c r="D99" s="184">
        <v>8</v>
      </c>
      <c r="E99" s="185">
        <f t="shared" si="46"/>
        <v>424598.51050000009</v>
      </c>
      <c r="F99" s="185">
        <f>21595*(B$6+1)*12</f>
        <v>277279.80000000005</v>
      </c>
      <c r="G99" s="185">
        <f t="shared" si="53"/>
        <v>61001.556000000011</v>
      </c>
      <c r="H99" s="185">
        <f t="shared" si="41"/>
        <v>49703.64</v>
      </c>
      <c r="I99" s="185">
        <f t="shared" si="44"/>
        <v>8400</v>
      </c>
      <c r="J99" s="198">
        <v>1926</v>
      </c>
      <c r="K99" s="185">
        <f t="shared" si="78"/>
        <v>0</v>
      </c>
      <c r="L99" s="185">
        <v>93</v>
      </c>
      <c r="M99" s="185">
        <f t="shared" si="48"/>
        <v>3087.8645000000006</v>
      </c>
      <c r="N99" s="185">
        <f t="shared" si="57"/>
        <v>23106.650000000005</v>
      </c>
      <c r="O99" s="185"/>
    </row>
    <row r="100" spans="1:112" x14ac:dyDescent="0.2">
      <c r="A100" s="195" t="s">
        <v>50</v>
      </c>
      <c r="C100" s="184" t="s">
        <v>30</v>
      </c>
      <c r="D100" s="184">
        <v>9</v>
      </c>
      <c r="E100" s="185">
        <f t="shared" si="46"/>
        <v>382059.40860000002</v>
      </c>
      <c r="F100" s="185">
        <f>19074*(B$6+1)*12</f>
        <v>244910.16</v>
      </c>
      <c r="G100" s="185">
        <f t="shared" si="53"/>
        <v>53880.235200000003</v>
      </c>
      <c r="H100" s="185">
        <f t="shared" si="41"/>
        <v>49703.64</v>
      </c>
      <c r="I100" s="185">
        <f t="shared" si="44"/>
        <v>8400</v>
      </c>
      <c r="J100" s="198">
        <v>1926</v>
      </c>
      <c r="K100" s="185">
        <f t="shared" si="78"/>
        <v>0</v>
      </c>
      <c r="L100" s="185">
        <v>93</v>
      </c>
      <c r="M100" s="185">
        <f t="shared" si="48"/>
        <v>2737.1934000000001</v>
      </c>
      <c r="N100" s="185">
        <f t="shared" si="57"/>
        <v>20409.18</v>
      </c>
      <c r="O100" s="185"/>
    </row>
    <row r="101" spans="1:112" s="195" customFormat="1" x14ac:dyDescent="0.2">
      <c r="A101" s="195" t="s">
        <v>720</v>
      </c>
      <c r="C101" s="195" t="s">
        <v>292</v>
      </c>
      <c r="D101" s="195">
        <v>7</v>
      </c>
      <c r="E101" s="185">
        <f t="shared" si="46"/>
        <v>470090.54490000004</v>
      </c>
      <c r="F101" s="185">
        <f>24291*(B$6+1)*12</f>
        <v>311896.44000000006</v>
      </c>
      <c r="G101" s="185">
        <f t="shared" si="53"/>
        <v>68617.216800000009</v>
      </c>
      <c r="H101" s="185">
        <f t="shared" si="41"/>
        <v>49703.64</v>
      </c>
      <c r="I101" s="185">
        <f t="shared" si="44"/>
        <v>8400</v>
      </c>
      <c r="J101" s="198">
        <v>1926</v>
      </c>
      <c r="K101" s="185">
        <f t="shared" si="78"/>
        <v>0</v>
      </c>
      <c r="L101" s="185">
        <v>93</v>
      </c>
      <c r="M101" s="185">
        <f t="shared" si="48"/>
        <v>3462.8781000000008</v>
      </c>
      <c r="N101" s="185">
        <f t="shared" si="57"/>
        <v>25991.370000000006</v>
      </c>
      <c r="O101" s="185"/>
      <c r="P101" s="194"/>
    </row>
    <row r="102" spans="1:112" x14ac:dyDescent="0.2">
      <c r="A102" s="195" t="s">
        <v>504</v>
      </c>
      <c r="B102" s="213"/>
      <c r="C102" s="184" t="s">
        <v>34</v>
      </c>
      <c r="E102" s="185">
        <f t="shared" si="46"/>
        <v>136723</v>
      </c>
      <c r="F102" s="185">
        <f>10525*(B$6+1)*12</f>
        <v>135141</v>
      </c>
      <c r="G102" s="185">
        <v>1489</v>
      </c>
      <c r="H102" s="185"/>
      <c r="I102" s="185"/>
      <c r="J102" s="198"/>
      <c r="K102" s="185"/>
      <c r="L102" s="185">
        <v>93</v>
      </c>
      <c r="M102" s="185"/>
      <c r="N102" s="185"/>
      <c r="O102" s="185"/>
    </row>
    <row r="103" spans="1:112" x14ac:dyDescent="0.2">
      <c r="A103" s="195" t="s">
        <v>504</v>
      </c>
      <c r="B103" s="213"/>
      <c r="C103" s="184" t="s">
        <v>505</v>
      </c>
      <c r="E103" s="185">
        <f t="shared" si="46"/>
        <v>136723</v>
      </c>
      <c r="F103" s="185">
        <f>10525*(B$6+1)*12</f>
        <v>135141</v>
      </c>
      <c r="G103" s="185">
        <v>1489</v>
      </c>
      <c r="H103" s="185"/>
      <c r="I103" s="185"/>
      <c r="J103" s="198"/>
      <c r="K103" s="185"/>
      <c r="L103" s="185">
        <v>93</v>
      </c>
      <c r="M103" s="185"/>
      <c r="N103" s="185"/>
      <c r="O103" s="185"/>
    </row>
    <row r="104" spans="1:112" x14ac:dyDescent="0.2">
      <c r="A104" s="195" t="s">
        <v>504</v>
      </c>
      <c r="B104" s="213"/>
      <c r="C104" s="184" t="s">
        <v>509</v>
      </c>
      <c r="E104" s="185">
        <f t="shared" si="46"/>
        <v>136723</v>
      </c>
      <c r="F104" s="185">
        <f>10525*(B$6+1)*12</f>
        <v>135141</v>
      </c>
      <c r="G104" s="185">
        <v>1489</v>
      </c>
      <c r="H104" s="185"/>
      <c r="I104" s="185"/>
      <c r="J104" s="198"/>
      <c r="K104" s="185"/>
      <c r="L104" s="185">
        <v>93</v>
      </c>
      <c r="M104" s="185"/>
      <c r="N104" s="185"/>
      <c r="O104" s="185"/>
    </row>
    <row r="105" spans="1:112" x14ac:dyDescent="0.2">
      <c r="A105" s="195" t="s">
        <v>504</v>
      </c>
      <c r="B105" s="213"/>
      <c r="C105" s="184" t="s">
        <v>507</v>
      </c>
      <c r="E105" s="185">
        <f t="shared" si="46"/>
        <v>136723</v>
      </c>
      <c r="F105" s="185">
        <f>10525*(B$6+1)*12</f>
        <v>135141</v>
      </c>
      <c r="G105" s="185">
        <v>1489</v>
      </c>
      <c r="H105" s="185"/>
      <c r="I105" s="185"/>
      <c r="J105" s="198"/>
      <c r="K105" s="185"/>
      <c r="L105" s="185">
        <v>93</v>
      </c>
      <c r="M105" s="185"/>
      <c r="N105" s="185"/>
      <c r="O105" s="185"/>
    </row>
    <row r="106" spans="1:112" x14ac:dyDescent="0.2">
      <c r="A106" s="195" t="s">
        <v>504</v>
      </c>
      <c r="B106" s="213"/>
      <c r="C106" s="184" t="s">
        <v>508</v>
      </c>
      <c r="E106" s="185">
        <f t="shared" si="46"/>
        <v>136723</v>
      </c>
      <c r="F106" s="185">
        <f>10525*(B$6+1)*12</f>
        <v>135141</v>
      </c>
      <c r="G106" s="185">
        <v>1489</v>
      </c>
      <c r="H106" s="185"/>
      <c r="I106" s="185"/>
      <c r="J106" s="198"/>
      <c r="K106" s="185"/>
      <c r="L106" s="185">
        <v>93</v>
      </c>
      <c r="M106" s="185"/>
      <c r="N106" s="185"/>
      <c r="O106" s="185"/>
    </row>
    <row r="107" spans="1:112" x14ac:dyDescent="0.2">
      <c r="A107" s="195" t="s">
        <v>329</v>
      </c>
      <c r="B107" s="215"/>
      <c r="E107" s="185">
        <f t="shared" si="46"/>
        <v>0</v>
      </c>
      <c r="F107" s="185"/>
      <c r="G107" s="185"/>
      <c r="H107" s="185"/>
      <c r="I107" s="185"/>
      <c r="J107" s="198"/>
      <c r="K107" s="185"/>
      <c r="L107" s="185"/>
      <c r="M107" s="185"/>
      <c r="N107" s="185"/>
      <c r="O107" s="185"/>
    </row>
    <row r="108" spans="1:112" x14ac:dyDescent="0.2">
      <c r="A108" s="195" t="s">
        <v>157</v>
      </c>
      <c r="B108" s="215"/>
      <c r="E108" s="185">
        <f t="shared" si="46"/>
        <v>150000</v>
      </c>
      <c r="F108" s="185"/>
      <c r="G108" s="185"/>
      <c r="H108" s="185"/>
      <c r="I108" s="185"/>
      <c r="J108" s="198"/>
      <c r="K108" s="185"/>
      <c r="L108" s="185"/>
      <c r="M108" s="185"/>
      <c r="N108" s="185"/>
      <c r="O108" s="185">
        <v>150000</v>
      </c>
    </row>
    <row r="109" spans="1:112" x14ac:dyDescent="0.2">
      <c r="A109" s="195" t="s">
        <v>164</v>
      </c>
      <c r="B109" s="215"/>
      <c r="C109" s="184" t="s">
        <v>164</v>
      </c>
      <c r="E109" s="185">
        <f t="shared" si="46"/>
        <v>50192</v>
      </c>
      <c r="F109" s="185"/>
      <c r="G109" s="185"/>
      <c r="H109" s="185"/>
      <c r="I109" s="185"/>
      <c r="J109" s="198"/>
      <c r="K109" s="185"/>
      <c r="L109" s="185"/>
      <c r="M109" s="185"/>
      <c r="N109" s="185"/>
      <c r="O109" s="185"/>
      <c r="P109" s="185">
        <v>50192</v>
      </c>
    </row>
    <row r="110" spans="1:112" ht="13.5" thickBot="1" x14ac:dyDescent="0.25">
      <c r="E110" s="205">
        <f t="shared" ref="E110:P110" si="81">SUM(E71:E109)</f>
        <v>18913626.52193334</v>
      </c>
      <c r="F110" s="205">
        <f t="shared" si="81"/>
        <v>11520463.160000006</v>
      </c>
      <c r="G110" s="205">
        <f t="shared" si="81"/>
        <v>2393291.7952000005</v>
      </c>
      <c r="H110" s="205">
        <f t="shared" si="81"/>
        <v>1292294.6399999997</v>
      </c>
      <c r="I110" s="205">
        <f t="shared" si="81"/>
        <v>210000</v>
      </c>
      <c r="J110" s="205">
        <f t="shared" si="81"/>
        <v>50076</v>
      </c>
      <c r="K110" s="205">
        <f t="shared" si="81"/>
        <v>2199120</v>
      </c>
      <c r="L110" s="205">
        <f t="shared" si="81"/>
        <v>2883</v>
      </c>
      <c r="M110" s="205">
        <f t="shared" si="81"/>
        <v>141576.08006666665</v>
      </c>
      <c r="N110" s="205">
        <f t="shared" si="81"/>
        <v>903729.84666666703</v>
      </c>
      <c r="O110" s="205">
        <f t="shared" si="81"/>
        <v>150000</v>
      </c>
      <c r="P110" s="205">
        <f t="shared" si="81"/>
        <v>50192</v>
      </c>
    </row>
    <row r="111" spans="1:112" ht="13.5" thickTop="1" x14ac:dyDescent="0.2">
      <c r="C111" s="184" t="s">
        <v>199</v>
      </c>
      <c r="D111" s="184">
        <f>COUNT(D71:D110)</f>
        <v>28</v>
      </c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</row>
    <row r="112" spans="1:112" x14ac:dyDescent="0.2"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</row>
    <row r="113" spans="1:112" x14ac:dyDescent="0.2">
      <c r="A113" s="192" t="s">
        <v>20</v>
      </c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</row>
    <row r="114" spans="1:112" x14ac:dyDescent="0.2">
      <c r="C114" s="184" t="s">
        <v>176</v>
      </c>
      <c r="D114" s="193" t="s">
        <v>177</v>
      </c>
      <c r="E114" s="193" t="s">
        <v>178</v>
      </c>
      <c r="F114" s="193" t="s">
        <v>179</v>
      </c>
      <c r="G114" s="193" t="s">
        <v>180</v>
      </c>
      <c r="H114" s="193" t="s">
        <v>181</v>
      </c>
      <c r="I114" s="193" t="s">
        <v>182</v>
      </c>
      <c r="J114" s="193" t="s">
        <v>183</v>
      </c>
      <c r="K114" s="193" t="s">
        <v>184</v>
      </c>
      <c r="L114" s="193" t="s">
        <v>185</v>
      </c>
      <c r="M114" s="193" t="s">
        <v>186</v>
      </c>
      <c r="N114" s="193" t="s">
        <v>187</v>
      </c>
      <c r="O114" s="193" t="s">
        <v>372</v>
      </c>
      <c r="P114" s="185" t="s">
        <v>164</v>
      </c>
    </row>
    <row r="115" spans="1:112" x14ac:dyDescent="0.2">
      <c r="D115" s="193" t="s">
        <v>188</v>
      </c>
      <c r="E115" s="193" t="s">
        <v>189</v>
      </c>
      <c r="F115" s="193"/>
      <c r="G115" s="193" t="s">
        <v>190</v>
      </c>
      <c r="H115" s="193" t="s">
        <v>190</v>
      </c>
      <c r="I115" s="193" t="s">
        <v>191</v>
      </c>
      <c r="J115" s="193"/>
      <c r="K115" s="193" t="s">
        <v>192</v>
      </c>
      <c r="L115" s="193" t="s">
        <v>193</v>
      </c>
      <c r="M115" s="193" t="s">
        <v>194</v>
      </c>
      <c r="N115" s="193" t="s">
        <v>195</v>
      </c>
      <c r="O115" s="193" t="s">
        <v>192</v>
      </c>
    </row>
    <row r="116" spans="1:112" x14ac:dyDescent="0.2">
      <c r="A116" s="210" t="s">
        <v>669</v>
      </c>
      <c r="C116" s="184" t="s">
        <v>36</v>
      </c>
      <c r="D116" s="184">
        <v>0</v>
      </c>
      <c r="E116" s="185">
        <f>SUM(F116:P116)</f>
        <v>1158613.4472000001</v>
      </c>
      <c r="F116" s="185">
        <f>49647*(B$6+1)*12</f>
        <v>637467.48</v>
      </c>
      <c r="G116" s="185">
        <f>51304+(51304*9.5%)</f>
        <v>56177.88</v>
      </c>
      <c r="H116" s="185">
        <f>3871*(B$7+1)*12</f>
        <v>49703.64</v>
      </c>
      <c r="I116" s="185">
        <f>0*12</f>
        <v>0</v>
      </c>
      <c r="J116" s="198">
        <v>1926</v>
      </c>
      <c r="K116" s="185">
        <f>27000*12</f>
        <v>324000</v>
      </c>
      <c r="L116" s="185">
        <v>93</v>
      </c>
      <c r="M116" s="185">
        <v>0</v>
      </c>
      <c r="N116" s="185">
        <f>F116*0.14</f>
        <v>89245.44720000001</v>
      </c>
      <c r="O116" s="185"/>
    </row>
    <row r="117" spans="1:112" x14ac:dyDescent="0.2">
      <c r="A117" s="195" t="s">
        <v>431</v>
      </c>
      <c r="B117" s="216"/>
      <c r="C117" s="195" t="s">
        <v>450</v>
      </c>
      <c r="D117" s="195">
        <v>8</v>
      </c>
      <c r="E117" s="194">
        <f t="shared" ref="E117" si="82">SUM(F117:P117)</f>
        <v>424598.51050000009</v>
      </c>
      <c r="F117" s="194">
        <f>21595*(B$6+1)*12</f>
        <v>277279.80000000005</v>
      </c>
      <c r="G117" s="185">
        <f t="shared" ref="G117" si="83">F117*0.22</f>
        <v>61001.556000000011</v>
      </c>
      <c r="H117" s="185">
        <f t="shared" ref="H117" si="84">3871*(B$7+1)*12</f>
        <v>49703.64</v>
      </c>
      <c r="I117" s="185">
        <f t="shared" ref="I117" si="85">700*12</f>
        <v>8400</v>
      </c>
      <c r="J117" s="198">
        <v>1926</v>
      </c>
      <c r="K117" s="185">
        <f>0*12</f>
        <v>0</v>
      </c>
      <c r="L117" s="185">
        <v>93</v>
      </c>
      <c r="M117" s="185">
        <f t="shared" ref="M117" si="86">(N117+I117+K117+F117)*0.01</f>
        <v>3087.8645000000006</v>
      </c>
      <c r="N117" s="185">
        <f>F117/12</f>
        <v>23106.650000000005</v>
      </c>
      <c r="O117" s="185"/>
    </row>
    <row r="118" spans="1:112" s="203" customFormat="1" x14ac:dyDescent="0.2">
      <c r="A118" s="200" t="s">
        <v>729</v>
      </c>
      <c r="B118" s="217"/>
      <c r="C118" s="200" t="s">
        <v>34</v>
      </c>
      <c r="D118" s="200">
        <v>2</v>
      </c>
      <c r="E118" s="201"/>
      <c r="F118" s="201"/>
      <c r="G118" s="201"/>
      <c r="H118" s="201"/>
      <c r="I118" s="201"/>
      <c r="J118" s="202"/>
      <c r="K118" s="201"/>
      <c r="L118" s="201"/>
      <c r="M118" s="201"/>
      <c r="N118" s="201"/>
      <c r="O118" s="201"/>
      <c r="P118" s="201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0"/>
      <c r="BX118" s="200"/>
      <c r="BY118" s="200"/>
      <c r="BZ118" s="200"/>
      <c r="CA118" s="200"/>
      <c r="CB118" s="200"/>
      <c r="CC118" s="200"/>
      <c r="CD118" s="200"/>
      <c r="CE118" s="200"/>
      <c r="CF118" s="200"/>
      <c r="CG118" s="200"/>
      <c r="CH118" s="200"/>
      <c r="CI118" s="200"/>
      <c r="CJ118" s="200"/>
      <c r="CK118" s="200"/>
      <c r="CL118" s="200"/>
      <c r="CM118" s="200"/>
      <c r="CN118" s="200"/>
      <c r="CO118" s="200"/>
      <c r="CP118" s="200"/>
      <c r="CQ118" s="200"/>
      <c r="CR118" s="200"/>
      <c r="CS118" s="200"/>
      <c r="CT118" s="200"/>
      <c r="CU118" s="200"/>
      <c r="CV118" s="200"/>
      <c r="CW118" s="200"/>
      <c r="CX118" s="200"/>
      <c r="CY118" s="200"/>
      <c r="CZ118" s="200"/>
      <c r="DA118" s="200"/>
      <c r="DB118" s="200"/>
      <c r="DC118" s="200"/>
      <c r="DD118" s="200"/>
      <c r="DE118" s="200"/>
      <c r="DF118" s="200"/>
      <c r="DG118" s="200"/>
      <c r="DH118" s="200"/>
    </row>
    <row r="119" spans="1:112" s="203" customFormat="1" x14ac:dyDescent="0.2">
      <c r="A119" s="211" t="s">
        <v>730</v>
      </c>
      <c r="B119" s="200"/>
      <c r="C119" s="200" t="s">
        <v>34</v>
      </c>
      <c r="D119" s="200">
        <v>2</v>
      </c>
      <c r="E119" s="201"/>
      <c r="F119" s="201"/>
      <c r="G119" s="201"/>
      <c r="H119" s="201"/>
      <c r="I119" s="201"/>
      <c r="J119" s="202"/>
      <c r="K119" s="201"/>
      <c r="L119" s="201"/>
      <c r="M119" s="201"/>
      <c r="N119" s="201"/>
      <c r="O119" s="201"/>
      <c r="P119" s="201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0"/>
      <c r="BX119" s="200"/>
      <c r="BY119" s="200"/>
      <c r="BZ119" s="200"/>
      <c r="CA119" s="200"/>
      <c r="CB119" s="200"/>
      <c r="CC119" s="200"/>
      <c r="CD119" s="200"/>
      <c r="CE119" s="200"/>
      <c r="CF119" s="200"/>
      <c r="CG119" s="200"/>
      <c r="CH119" s="200"/>
      <c r="CI119" s="200"/>
      <c r="CJ119" s="200"/>
      <c r="CK119" s="200"/>
      <c r="CL119" s="200"/>
      <c r="CM119" s="200"/>
      <c r="CN119" s="200"/>
      <c r="CO119" s="200"/>
      <c r="CP119" s="200"/>
      <c r="CQ119" s="200"/>
      <c r="CR119" s="200"/>
      <c r="CS119" s="200"/>
      <c r="CT119" s="200"/>
      <c r="CU119" s="200"/>
      <c r="CV119" s="200"/>
      <c r="CW119" s="200"/>
      <c r="CX119" s="200"/>
      <c r="CY119" s="200"/>
      <c r="CZ119" s="200"/>
      <c r="DA119" s="200"/>
      <c r="DB119" s="200"/>
      <c r="DC119" s="200"/>
      <c r="DD119" s="200"/>
      <c r="DE119" s="200"/>
      <c r="DF119" s="200"/>
      <c r="DG119" s="200"/>
      <c r="DH119" s="200"/>
    </row>
    <row r="120" spans="1:112" s="203" customFormat="1" x14ac:dyDescent="0.2">
      <c r="A120" s="211" t="s">
        <v>731</v>
      </c>
      <c r="B120" s="200"/>
      <c r="C120" s="200" t="s">
        <v>34</v>
      </c>
      <c r="D120" s="200">
        <v>2</v>
      </c>
      <c r="E120" s="201"/>
      <c r="F120" s="201"/>
      <c r="G120" s="201"/>
      <c r="H120" s="201"/>
      <c r="I120" s="201"/>
      <c r="J120" s="202"/>
      <c r="K120" s="201"/>
      <c r="L120" s="201"/>
      <c r="M120" s="201"/>
      <c r="N120" s="201"/>
      <c r="O120" s="201"/>
      <c r="P120" s="201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0"/>
      <c r="BX120" s="200"/>
      <c r="BY120" s="200"/>
      <c r="BZ120" s="200"/>
      <c r="CA120" s="200"/>
      <c r="CB120" s="200"/>
      <c r="CC120" s="200"/>
      <c r="CD120" s="200"/>
      <c r="CE120" s="200"/>
      <c r="CF120" s="200"/>
      <c r="CG120" s="200"/>
      <c r="CH120" s="200"/>
      <c r="CI120" s="200"/>
      <c r="CJ120" s="200"/>
      <c r="CK120" s="200"/>
      <c r="CL120" s="200"/>
      <c r="CM120" s="200"/>
      <c r="CN120" s="200"/>
      <c r="CO120" s="200"/>
      <c r="CP120" s="200"/>
      <c r="CQ120" s="200"/>
      <c r="CR120" s="200"/>
      <c r="CS120" s="200"/>
      <c r="CT120" s="200"/>
      <c r="CU120" s="200"/>
      <c r="CV120" s="200"/>
      <c r="CW120" s="200"/>
      <c r="CX120" s="200"/>
      <c r="CY120" s="200"/>
      <c r="CZ120" s="200"/>
      <c r="DA120" s="200"/>
      <c r="DB120" s="200"/>
      <c r="DC120" s="200"/>
      <c r="DD120" s="200"/>
      <c r="DE120" s="200"/>
      <c r="DF120" s="200"/>
      <c r="DG120" s="200"/>
      <c r="DH120" s="200"/>
    </row>
    <row r="121" spans="1:112" x14ac:dyDescent="0.2">
      <c r="A121" s="195" t="s">
        <v>732</v>
      </c>
      <c r="C121" s="195" t="s">
        <v>294</v>
      </c>
      <c r="D121" s="184">
        <v>2</v>
      </c>
      <c r="E121" s="185">
        <f t="shared" ref="E121:E122" si="87">SUM(F121:P121)</f>
        <v>1011804.6731000001</v>
      </c>
      <c r="F121" s="185">
        <f>47129*(B$6+1)*12</f>
        <v>605136.3600000001</v>
      </c>
      <c r="G121" s="185">
        <f>F121*0.22</f>
        <v>133129.99920000002</v>
      </c>
      <c r="H121" s="185">
        <f t="shared" ref="H121:H122" si="88">3871*(B$7+1)*12</f>
        <v>49703.64</v>
      </c>
      <c r="I121" s="185">
        <f t="shared" ref="I121" si="89">700*12</f>
        <v>8400</v>
      </c>
      <c r="J121" s="198">
        <v>1926</v>
      </c>
      <c r="K121" s="194">
        <f t="shared" ref="K121:K122" si="90">12900*12</f>
        <v>154800</v>
      </c>
      <c r="L121" s="185">
        <v>93</v>
      </c>
      <c r="M121" s="185">
        <f t="shared" ref="M121" si="91">(N121+I121+K121+F121)*0.01</f>
        <v>8187.6439000000018</v>
      </c>
      <c r="N121" s="185">
        <f>F121/12</f>
        <v>50428.030000000006</v>
      </c>
      <c r="O121" s="185"/>
    </row>
    <row r="122" spans="1:112" x14ac:dyDescent="0.2">
      <c r="A122" s="195" t="s">
        <v>733</v>
      </c>
      <c r="C122" s="195" t="s">
        <v>446</v>
      </c>
      <c r="D122" s="184">
        <v>2</v>
      </c>
      <c r="E122" s="185">
        <f t="shared" si="87"/>
        <v>1011804.6731000001</v>
      </c>
      <c r="F122" s="185">
        <f>47129*(B$6+1)*12</f>
        <v>605136.3600000001</v>
      </c>
      <c r="G122" s="185">
        <f>F122*0.22</f>
        <v>133129.99920000002</v>
      </c>
      <c r="H122" s="185">
        <f t="shared" si="88"/>
        <v>49703.64</v>
      </c>
      <c r="I122" s="185">
        <f>700*12</f>
        <v>8400</v>
      </c>
      <c r="J122" s="198">
        <v>1926</v>
      </c>
      <c r="K122" s="194">
        <f t="shared" si="90"/>
        <v>154800</v>
      </c>
      <c r="L122" s="185">
        <v>93</v>
      </c>
      <c r="M122" s="185">
        <f>(N122+I122+K122+F122)*0.01</f>
        <v>8187.6439000000018</v>
      </c>
      <c r="N122" s="185">
        <f t="shared" ref="N122" si="92">F122/12</f>
        <v>50428.030000000006</v>
      </c>
      <c r="O122" s="185"/>
    </row>
    <row r="123" spans="1:112" x14ac:dyDescent="0.2">
      <c r="A123" s="195" t="s">
        <v>734</v>
      </c>
      <c r="C123" s="184" t="s">
        <v>448</v>
      </c>
      <c r="D123" s="184">
        <v>3</v>
      </c>
      <c r="E123" s="185">
        <f t="shared" ref="E123" si="93">SUM(F123:P123)</f>
        <v>912075.38430000003</v>
      </c>
      <c r="F123" s="185">
        <f>41937*(B$6+1)*12</f>
        <v>538471.08000000007</v>
      </c>
      <c r="G123" s="185">
        <f>F123*0.22</f>
        <v>118463.63760000002</v>
      </c>
      <c r="H123" s="185">
        <f t="shared" ref="H123:H158" si="94">3871*(B$7+1)*12</f>
        <v>49703.64</v>
      </c>
      <c r="I123" s="185">
        <f t="shared" ref="I123:I158" si="95">700*12</f>
        <v>8400</v>
      </c>
      <c r="J123" s="198">
        <v>1926</v>
      </c>
      <c r="K123" s="185">
        <f t="shared" ref="K123:K124" si="96">11900*12</f>
        <v>142800</v>
      </c>
      <c r="L123" s="185">
        <v>93</v>
      </c>
      <c r="M123" s="185">
        <f t="shared" ref="M123" si="97">(N123+I123+K123+F123)*0.01</f>
        <v>7345.4367000000002</v>
      </c>
      <c r="N123" s="185">
        <f>F123/12</f>
        <v>44872.590000000004</v>
      </c>
      <c r="O123" s="185"/>
    </row>
    <row r="124" spans="1:112" x14ac:dyDescent="0.2">
      <c r="A124" s="195" t="s">
        <v>735</v>
      </c>
      <c r="B124" s="195"/>
      <c r="C124" s="195" t="s">
        <v>350</v>
      </c>
      <c r="D124" s="195">
        <v>3</v>
      </c>
      <c r="E124" s="194">
        <f t="shared" ref="E124:E161" si="98">SUM(F124:P124)</f>
        <v>912075.38430000003</v>
      </c>
      <c r="F124" s="194">
        <f>41937*(B$6+1)*12</f>
        <v>538471.08000000007</v>
      </c>
      <c r="G124" s="185">
        <f>F124*0.22</f>
        <v>118463.63760000002</v>
      </c>
      <c r="H124" s="185">
        <f t="shared" si="94"/>
        <v>49703.64</v>
      </c>
      <c r="I124" s="185">
        <f t="shared" si="95"/>
        <v>8400</v>
      </c>
      <c r="J124" s="198">
        <v>1926</v>
      </c>
      <c r="K124" s="185">
        <f t="shared" si="96"/>
        <v>142800</v>
      </c>
      <c r="L124" s="185">
        <v>93</v>
      </c>
      <c r="M124" s="185">
        <f t="shared" ref="M124:M140" si="99">(N124+I124+K124+F124)*0.01</f>
        <v>7345.4367000000002</v>
      </c>
      <c r="N124" s="185">
        <f>F124/12</f>
        <v>44872.590000000004</v>
      </c>
      <c r="O124" s="185"/>
    </row>
    <row r="125" spans="1:112" s="203" customFormat="1" x14ac:dyDescent="0.2">
      <c r="A125" s="200" t="s">
        <v>736</v>
      </c>
      <c r="B125" s="200"/>
      <c r="C125" s="200" t="s">
        <v>34</v>
      </c>
      <c r="D125" s="200">
        <v>3</v>
      </c>
      <c r="E125" s="201"/>
      <c r="F125" s="201"/>
      <c r="G125" s="201"/>
      <c r="H125" s="201"/>
      <c r="I125" s="201"/>
      <c r="J125" s="202"/>
      <c r="K125" s="201"/>
      <c r="L125" s="201"/>
      <c r="M125" s="201"/>
      <c r="N125" s="201"/>
      <c r="O125" s="201"/>
      <c r="P125" s="201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200"/>
      <c r="BD125" s="200"/>
      <c r="BE125" s="200"/>
      <c r="BF125" s="200"/>
      <c r="BG125" s="200"/>
      <c r="BH125" s="200"/>
      <c r="BI125" s="200"/>
      <c r="BJ125" s="200"/>
      <c r="BK125" s="200"/>
      <c r="BL125" s="200"/>
      <c r="BM125" s="200"/>
      <c r="BN125" s="200"/>
      <c r="BO125" s="200"/>
      <c r="BP125" s="200"/>
      <c r="BQ125" s="200"/>
      <c r="BR125" s="200"/>
      <c r="BS125" s="200"/>
      <c r="BT125" s="200"/>
      <c r="BU125" s="200"/>
      <c r="BV125" s="200"/>
      <c r="BW125" s="200"/>
      <c r="BX125" s="200"/>
      <c r="BY125" s="200"/>
      <c r="BZ125" s="200"/>
      <c r="CA125" s="200"/>
      <c r="CB125" s="200"/>
      <c r="CC125" s="200"/>
      <c r="CD125" s="200"/>
      <c r="CE125" s="200"/>
      <c r="CF125" s="200"/>
      <c r="CG125" s="200"/>
      <c r="CH125" s="200"/>
      <c r="CI125" s="200"/>
      <c r="CJ125" s="200"/>
      <c r="CK125" s="200"/>
      <c r="CL125" s="200"/>
      <c r="CM125" s="200"/>
      <c r="CN125" s="200"/>
      <c r="CO125" s="200"/>
      <c r="CP125" s="200"/>
      <c r="CQ125" s="200"/>
      <c r="CR125" s="200"/>
      <c r="CS125" s="200"/>
      <c r="CT125" s="200"/>
      <c r="CU125" s="200"/>
      <c r="CV125" s="200"/>
      <c r="CW125" s="200"/>
      <c r="CX125" s="200"/>
      <c r="CY125" s="200"/>
      <c r="CZ125" s="200"/>
      <c r="DA125" s="200"/>
      <c r="DB125" s="200"/>
      <c r="DC125" s="200"/>
      <c r="DD125" s="200"/>
      <c r="DE125" s="200"/>
      <c r="DF125" s="200"/>
      <c r="DG125" s="200"/>
      <c r="DH125" s="200"/>
    </row>
    <row r="126" spans="1:112" x14ac:dyDescent="0.2">
      <c r="A126" s="195" t="s">
        <v>738</v>
      </c>
      <c r="C126" s="184" t="s">
        <v>41</v>
      </c>
      <c r="D126" s="184">
        <v>5</v>
      </c>
      <c r="E126" s="185">
        <f t="shared" ref="E126" si="100">SUM(F126:P126)</f>
        <v>718949.3861</v>
      </c>
      <c r="F126" s="185">
        <f>31799*(B$6+1)*12</f>
        <v>408299.16000000003</v>
      </c>
      <c r="G126" s="185">
        <f t="shared" ref="G126" si="101">F126*0.22</f>
        <v>89825.815200000012</v>
      </c>
      <c r="H126" s="185">
        <f t="shared" ref="H126" si="102">3871*(B$7+1)*12</f>
        <v>49703.64</v>
      </c>
      <c r="I126" s="185">
        <f t="shared" ref="I126" si="103">700*12</f>
        <v>8400</v>
      </c>
      <c r="J126" s="198">
        <v>1926</v>
      </c>
      <c r="K126" s="185">
        <f>10080*12</f>
        <v>120960</v>
      </c>
      <c r="L126" s="185">
        <v>93</v>
      </c>
      <c r="M126" s="185">
        <f t="shared" ref="M126" si="104">(N126+I126+K126+F126)*0.01</f>
        <v>5716.8409000000011</v>
      </c>
      <c r="N126" s="185">
        <f>F126/12</f>
        <v>34024.93</v>
      </c>
      <c r="O126" s="185"/>
    </row>
    <row r="127" spans="1:112" s="203" customFormat="1" x14ac:dyDescent="0.2">
      <c r="A127" s="200" t="s">
        <v>737</v>
      </c>
      <c r="B127" s="200"/>
      <c r="C127" s="200" t="s">
        <v>34</v>
      </c>
      <c r="D127" s="200">
        <v>5</v>
      </c>
      <c r="E127" s="201"/>
      <c r="F127" s="201"/>
      <c r="G127" s="201"/>
      <c r="H127" s="201"/>
      <c r="I127" s="201"/>
      <c r="J127" s="202"/>
      <c r="K127" s="201"/>
      <c r="L127" s="201"/>
      <c r="M127" s="201"/>
      <c r="N127" s="201"/>
      <c r="O127" s="201"/>
      <c r="P127" s="201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0"/>
      <c r="BX127" s="200"/>
      <c r="BY127" s="200"/>
      <c r="BZ127" s="200"/>
      <c r="CA127" s="200"/>
      <c r="CB127" s="200"/>
      <c r="CC127" s="200"/>
      <c r="CD127" s="200"/>
      <c r="CE127" s="200"/>
      <c r="CF127" s="200"/>
      <c r="CG127" s="200"/>
      <c r="CH127" s="200"/>
      <c r="CI127" s="200"/>
      <c r="CJ127" s="200"/>
      <c r="CK127" s="200"/>
      <c r="CL127" s="200"/>
      <c r="CM127" s="200"/>
      <c r="CN127" s="200"/>
      <c r="CO127" s="200"/>
      <c r="CP127" s="200"/>
      <c r="CQ127" s="200"/>
      <c r="CR127" s="200"/>
      <c r="CS127" s="200"/>
      <c r="CT127" s="200"/>
      <c r="CU127" s="200"/>
      <c r="CV127" s="200"/>
      <c r="CW127" s="200"/>
      <c r="CX127" s="200"/>
      <c r="CY127" s="200"/>
      <c r="CZ127" s="200"/>
      <c r="DA127" s="200"/>
      <c r="DB127" s="200"/>
      <c r="DC127" s="200"/>
      <c r="DD127" s="200"/>
      <c r="DE127" s="200"/>
      <c r="DF127" s="200"/>
      <c r="DG127" s="200"/>
      <c r="DH127" s="200"/>
    </row>
    <row r="128" spans="1:112" x14ac:dyDescent="0.2">
      <c r="A128" s="195" t="s">
        <v>75</v>
      </c>
      <c r="C128" s="184" t="s">
        <v>78</v>
      </c>
      <c r="D128" s="184">
        <v>8</v>
      </c>
      <c r="E128" s="185">
        <f t="shared" ref="E128" si="105">SUM(F128:P128)</f>
        <v>531012.11050000007</v>
      </c>
      <c r="F128" s="185">
        <f>21595*(B$6+1)*12</f>
        <v>277279.80000000005</v>
      </c>
      <c r="G128" s="185">
        <f t="shared" ref="G128" si="106">F128*0.22</f>
        <v>61001.556000000011</v>
      </c>
      <c r="H128" s="185">
        <f t="shared" ref="H128" si="107">3871*(B$7+1)*12</f>
        <v>49703.64</v>
      </c>
      <c r="I128" s="185">
        <f t="shared" ref="I128" si="108">700*12</f>
        <v>8400</v>
      </c>
      <c r="J128" s="198">
        <v>1926</v>
      </c>
      <c r="K128" s="185">
        <f>8780*12</f>
        <v>105360</v>
      </c>
      <c r="L128" s="185">
        <v>93</v>
      </c>
      <c r="M128" s="185">
        <f>(N128+I128+K128+F128)*0.01</f>
        <v>4141.464500000001</v>
      </c>
      <c r="N128" s="185">
        <f t="shared" ref="N128" si="109">F128/12</f>
        <v>23106.650000000005</v>
      </c>
      <c r="O128" s="185"/>
    </row>
    <row r="129" spans="1:112" s="219" customFormat="1" x14ac:dyDescent="0.2">
      <c r="A129" s="195" t="s">
        <v>57</v>
      </c>
      <c r="B129" s="195"/>
      <c r="C129" s="195" t="s">
        <v>60</v>
      </c>
      <c r="D129" s="195">
        <v>4</v>
      </c>
      <c r="E129" s="194">
        <f t="shared" si="98"/>
        <v>820344.6512000002</v>
      </c>
      <c r="F129" s="194">
        <f>37808*(B$6+1)*12</f>
        <v>485454.72000000009</v>
      </c>
      <c r="G129" s="185">
        <f>F129*0.22</f>
        <v>106800.03840000002</v>
      </c>
      <c r="H129" s="185">
        <f t="shared" si="94"/>
        <v>49703.64</v>
      </c>
      <c r="I129" s="185">
        <f t="shared" si="95"/>
        <v>8400</v>
      </c>
      <c r="J129" s="198">
        <v>1926</v>
      </c>
      <c r="K129" s="185">
        <f t="shared" ref="K129:K130" si="110">10080*12</f>
        <v>120960</v>
      </c>
      <c r="L129" s="185">
        <v>93</v>
      </c>
      <c r="M129" s="185">
        <f t="shared" si="99"/>
        <v>6552.6928000000007</v>
      </c>
      <c r="N129" s="185">
        <f t="shared" ref="N129" si="111">F129/12</f>
        <v>40454.560000000005</v>
      </c>
      <c r="O129" s="185"/>
      <c r="P129" s="218"/>
    </row>
    <row r="130" spans="1:112" x14ac:dyDescent="0.2">
      <c r="A130" s="195" t="s">
        <v>430</v>
      </c>
      <c r="B130" s="195"/>
      <c r="C130" s="195" t="s">
        <v>38</v>
      </c>
      <c r="D130" s="195">
        <v>5</v>
      </c>
      <c r="E130" s="194">
        <f t="shared" si="98"/>
        <v>718949.3861</v>
      </c>
      <c r="F130" s="194">
        <f>31799*(B$6+1)*12</f>
        <v>408299.16000000003</v>
      </c>
      <c r="G130" s="185">
        <f t="shared" ref="G130:G134" si="112">F130*0.22</f>
        <v>89825.815200000012</v>
      </c>
      <c r="H130" s="185">
        <f t="shared" si="94"/>
        <v>49703.64</v>
      </c>
      <c r="I130" s="185">
        <f t="shared" si="95"/>
        <v>8400</v>
      </c>
      <c r="J130" s="198">
        <v>1926</v>
      </c>
      <c r="K130" s="185">
        <f t="shared" si="110"/>
        <v>120960</v>
      </c>
      <c r="L130" s="185">
        <v>93</v>
      </c>
      <c r="M130" s="185">
        <f t="shared" si="99"/>
        <v>5716.8409000000011</v>
      </c>
      <c r="N130" s="185">
        <f>F130/12</f>
        <v>34024.93</v>
      </c>
      <c r="O130" s="185"/>
    </row>
    <row r="131" spans="1:112" x14ac:dyDescent="0.2">
      <c r="A131" s="195" t="s">
        <v>739</v>
      </c>
      <c r="B131" s="195"/>
      <c r="C131" s="195" t="s">
        <v>351</v>
      </c>
      <c r="D131" s="195">
        <v>6</v>
      </c>
      <c r="E131" s="194">
        <f t="shared" si="98"/>
        <v>534329.48220000009</v>
      </c>
      <c r="F131" s="194">
        <f>28098*(B$6+1)*12</f>
        <v>360778.32</v>
      </c>
      <c r="G131" s="185">
        <f t="shared" si="112"/>
        <v>79371.2304</v>
      </c>
      <c r="H131" s="185">
        <f t="shared" si="94"/>
        <v>49703.64</v>
      </c>
      <c r="I131" s="185">
        <f t="shared" si="95"/>
        <v>8400</v>
      </c>
      <c r="J131" s="198">
        <v>1926</v>
      </c>
      <c r="K131" s="185">
        <f>0*12</f>
        <v>0</v>
      </c>
      <c r="L131" s="185">
        <v>93</v>
      </c>
      <c r="M131" s="185">
        <f t="shared" si="99"/>
        <v>3992.4317999999998</v>
      </c>
      <c r="N131" s="185">
        <f t="shared" ref="N131:N135" si="113">F131/12</f>
        <v>30064.86</v>
      </c>
      <c r="O131" s="185"/>
    </row>
    <row r="132" spans="1:112" s="212" customFormat="1" x14ac:dyDescent="0.2">
      <c r="A132" s="195" t="s">
        <v>468</v>
      </c>
      <c r="B132" s="216"/>
      <c r="C132" s="195" t="s">
        <v>485</v>
      </c>
      <c r="D132" s="195">
        <v>5</v>
      </c>
      <c r="E132" s="194">
        <f t="shared" ref="E132" si="114">SUM(F132:P132)</f>
        <v>693014.20180000004</v>
      </c>
      <c r="F132" s="194">
        <f>30262*(B$6+1)*12</f>
        <v>388564.08</v>
      </c>
      <c r="G132" s="194">
        <f t="shared" si="112"/>
        <v>85484.097600000008</v>
      </c>
      <c r="H132" s="185">
        <f t="shared" si="94"/>
        <v>49703.64</v>
      </c>
      <c r="I132" s="185">
        <f t="shared" si="95"/>
        <v>8400</v>
      </c>
      <c r="J132" s="198">
        <v>1926</v>
      </c>
      <c r="K132" s="194">
        <f>10080*12</f>
        <v>120960</v>
      </c>
      <c r="L132" s="185">
        <v>93</v>
      </c>
      <c r="M132" s="194">
        <f t="shared" si="99"/>
        <v>5503.0442000000003</v>
      </c>
      <c r="N132" s="194">
        <f t="shared" si="113"/>
        <v>32380.34</v>
      </c>
      <c r="O132" s="194"/>
      <c r="P132" s="194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  <c r="BK132" s="195"/>
      <c r="BL132" s="195"/>
      <c r="BM132" s="195"/>
      <c r="BN132" s="195"/>
      <c r="BO132" s="195"/>
      <c r="BP132" s="195"/>
      <c r="BQ132" s="195"/>
      <c r="BR132" s="195"/>
      <c r="BS132" s="195"/>
      <c r="BT132" s="195"/>
      <c r="BU132" s="195"/>
      <c r="BV132" s="195"/>
      <c r="BW132" s="195"/>
      <c r="BX132" s="195"/>
      <c r="BY132" s="195"/>
      <c r="BZ132" s="195"/>
      <c r="CA132" s="195"/>
      <c r="CB132" s="195"/>
      <c r="CC132" s="195"/>
      <c r="CD132" s="195"/>
      <c r="CE132" s="195"/>
      <c r="CF132" s="195"/>
      <c r="CG132" s="195"/>
      <c r="CH132" s="195"/>
      <c r="CI132" s="195"/>
      <c r="CJ132" s="195"/>
      <c r="CK132" s="195"/>
      <c r="CL132" s="195"/>
      <c r="CM132" s="195"/>
      <c r="CN132" s="195"/>
      <c r="CO132" s="195"/>
      <c r="CP132" s="195"/>
      <c r="CQ132" s="195"/>
      <c r="CR132" s="195"/>
      <c r="CS132" s="195"/>
      <c r="CT132" s="195"/>
      <c r="CU132" s="195"/>
      <c r="CV132" s="195"/>
      <c r="CW132" s="195"/>
      <c r="CX132" s="195"/>
      <c r="CY132" s="195"/>
      <c r="CZ132" s="195"/>
      <c r="DA132" s="195"/>
      <c r="DB132" s="195"/>
      <c r="DC132" s="195"/>
      <c r="DD132" s="195"/>
      <c r="DE132" s="195"/>
      <c r="DF132" s="195"/>
      <c r="DG132" s="195"/>
      <c r="DH132" s="195"/>
    </row>
    <row r="133" spans="1:112" x14ac:dyDescent="0.2">
      <c r="A133" s="195" t="s">
        <v>437</v>
      </c>
      <c r="C133" s="184" t="s">
        <v>268</v>
      </c>
      <c r="D133" s="184">
        <v>5</v>
      </c>
      <c r="E133" s="185">
        <f t="shared" ref="E133:E134" si="115">SUM(F133:P133)</f>
        <v>718949.3861</v>
      </c>
      <c r="F133" s="185">
        <f>31799*(B$6+1)*12</f>
        <v>408299.16000000003</v>
      </c>
      <c r="G133" s="185">
        <f t="shared" si="112"/>
        <v>89825.815200000012</v>
      </c>
      <c r="H133" s="185">
        <f t="shared" si="94"/>
        <v>49703.64</v>
      </c>
      <c r="I133" s="185">
        <f t="shared" si="95"/>
        <v>8400</v>
      </c>
      <c r="J133" s="198">
        <v>1926</v>
      </c>
      <c r="K133" s="185">
        <f t="shared" ref="K133" si="116">10080*12</f>
        <v>120960</v>
      </c>
      <c r="L133" s="185">
        <v>93</v>
      </c>
      <c r="M133" s="185">
        <f t="shared" si="99"/>
        <v>5716.8409000000011</v>
      </c>
      <c r="N133" s="185">
        <f t="shared" si="113"/>
        <v>34024.93</v>
      </c>
      <c r="O133" s="185"/>
    </row>
    <row r="134" spans="1:112" x14ac:dyDescent="0.2">
      <c r="A134" s="195" t="s">
        <v>23</v>
      </c>
      <c r="C134" s="184" t="s">
        <v>37</v>
      </c>
      <c r="D134" s="184">
        <v>6</v>
      </c>
      <c r="E134" s="185">
        <f t="shared" si="115"/>
        <v>534329.48220000009</v>
      </c>
      <c r="F134" s="185">
        <f>28098*(B$6+1)*12</f>
        <v>360778.32</v>
      </c>
      <c r="G134" s="185">
        <f t="shared" si="112"/>
        <v>79371.2304</v>
      </c>
      <c r="H134" s="185">
        <f t="shared" si="94"/>
        <v>49703.64</v>
      </c>
      <c r="I134" s="185">
        <f t="shared" si="95"/>
        <v>8400</v>
      </c>
      <c r="J134" s="198">
        <v>1926</v>
      </c>
      <c r="K134" s="185">
        <f>0*12</f>
        <v>0</v>
      </c>
      <c r="L134" s="185">
        <v>93</v>
      </c>
      <c r="M134" s="185">
        <f t="shared" si="99"/>
        <v>3992.4317999999998</v>
      </c>
      <c r="N134" s="185">
        <f t="shared" si="113"/>
        <v>30064.86</v>
      </c>
      <c r="O134" s="185"/>
    </row>
    <row r="135" spans="1:112" x14ac:dyDescent="0.2">
      <c r="A135" s="195" t="s">
        <v>67</v>
      </c>
      <c r="B135" s="195"/>
      <c r="C135" s="195" t="s">
        <v>543</v>
      </c>
      <c r="D135" s="195">
        <v>6</v>
      </c>
      <c r="E135" s="194">
        <f t="shared" si="98"/>
        <v>656499.08219999995</v>
      </c>
      <c r="F135" s="194">
        <f>28098*(B$6+1)*12</f>
        <v>360778.32</v>
      </c>
      <c r="G135" s="185">
        <f t="shared" ref="G135:G151" si="117">F135*0.22</f>
        <v>79371.2304</v>
      </c>
      <c r="H135" s="185">
        <f t="shared" si="94"/>
        <v>49703.64</v>
      </c>
      <c r="I135" s="185">
        <f t="shared" si="95"/>
        <v>8400</v>
      </c>
      <c r="J135" s="198">
        <v>1926</v>
      </c>
      <c r="K135" s="194">
        <f>10080*12</f>
        <v>120960</v>
      </c>
      <c r="L135" s="185">
        <v>93</v>
      </c>
      <c r="M135" s="185">
        <f t="shared" si="99"/>
        <v>5202.0317999999997</v>
      </c>
      <c r="N135" s="185">
        <f t="shared" si="113"/>
        <v>30064.86</v>
      </c>
      <c r="O135" s="185"/>
    </row>
    <row r="136" spans="1:112" x14ac:dyDescent="0.2">
      <c r="A136" s="195" t="s">
        <v>429</v>
      </c>
      <c r="B136" s="216"/>
      <c r="C136" s="195" t="s">
        <v>449</v>
      </c>
      <c r="D136" s="195">
        <v>8</v>
      </c>
      <c r="E136" s="194">
        <f t="shared" si="98"/>
        <v>424598.51050000009</v>
      </c>
      <c r="F136" s="194">
        <f>21595*(B$6+1)*12</f>
        <v>277279.80000000005</v>
      </c>
      <c r="G136" s="185">
        <f>F136*0.22</f>
        <v>61001.556000000011</v>
      </c>
      <c r="H136" s="185">
        <f t="shared" si="94"/>
        <v>49703.64</v>
      </c>
      <c r="I136" s="185">
        <f t="shared" si="95"/>
        <v>8400</v>
      </c>
      <c r="J136" s="198">
        <v>1926</v>
      </c>
      <c r="K136" s="185">
        <v>0</v>
      </c>
      <c r="L136" s="185">
        <v>93</v>
      </c>
      <c r="M136" s="185">
        <f t="shared" si="99"/>
        <v>3087.8645000000006</v>
      </c>
      <c r="N136" s="185">
        <f>F136/12</f>
        <v>23106.650000000005</v>
      </c>
      <c r="O136" s="185"/>
    </row>
    <row r="137" spans="1:112" x14ac:dyDescent="0.2">
      <c r="A137" s="195" t="s">
        <v>438</v>
      </c>
      <c r="B137" s="220"/>
      <c r="C137" s="195" t="s">
        <v>110</v>
      </c>
      <c r="D137" s="195">
        <v>8</v>
      </c>
      <c r="E137" s="194">
        <f t="shared" si="98"/>
        <v>424598.51050000009</v>
      </c>
      <c r="F137" s="194">
        <f>21595*(B$6+1)*12</f>
        <v>277279.80000000005</v>
      </c>
      <c r="G137" s="185">
        <f t="shared" si="117"/>
        <v>61001.556000000011</v>
      </c>
      <c r="H137" s="185">
        <f t="shared" si="94"/>
        <v>49703.64</v>
      </c>
      <c r="I137" s="185">
        <f t="shared" si="95"/>
        <v>8400</v>
      </c>
      <c r="J137" s="198">
        <v>1926</v>
      </c>
      <c r="K137" s="185">
        <f>0*12</f>
        <v>0</v>
      </c>
      <c r="L137" s="185">
        <v>93</v>
      </c>
      <c r="M137" s="185">
        <f t="shared" si="99"/>
        <v>3087.8645000000006</v>
      </c>
      <c r="N137" s="185">
        <f>F137/12</f>
        <v>23106.650000000005</v>
      </c>
      <c r="O137" s="185"/>
    </row>
    <row r="138" spans="1:112" x14ac:dyDescent="0.2">
      <c r="A138" s="195" t="s">
        <v>439</v>
      </c>
      <c r="B138" s="220"/>
      <c r="C138" s="195" t="s">
        <v>47</v>
      </c>
      <c r="D138" s="195">
        <v>9</v>
      </c>
      <c r="E138" s="194">
        <f t="shared" si="98"/>
        <v>382059.40860000002</v>
      </c>
      <c r="F138" s="194">
        <f>19074*(B$6+1)*12</f>
        <v>244910.16</v>
      </c>
      <c r="G138" s="185">
        <f t="shared" si="117"/>
        <v>53880.235200000003</v>
      </c>
      <c r="H138" s="185">
        <f t="shared" si="94"/>
        <v>49703.64</v>
      </c>
      <c r="I138" s="185">
        <f t="shared" si="95"/>
        <v>8400</v>
      </c>
      <c r="J138" s="198">
        <v>1926</v>
      </c>
      <c r="K138" s="185">
        <f>0*12</f>
        <v>0</v>
      </c>
      <c r="L138" s="185">
        <v>93</v>
      </c>
      <c r="M138" s="185">
        <f t="shared" si="99"/>
        <v>2737.1934000000001</v>
      </c>
      <c r="N138" s="185">
        <f>F138/12</f>
        <v>20409.18</v>
      </c>
      <c r="O138" s="185"/>
    </row>
    <row r="139" spans="1:112" x14ac:dyDescent="0.2">
      <c r="A139" s="195" t="s">
        <v>578</v>
      </c>
      <c r="B139" s="220"/>
      <c r="C139" s="195" t="s">
        <v>451</v>
      </c>
      <c r="D139" s="195">
        <v>7</v>
      </c>
      <c r="E139" s="194">
        <f t="shared" ref="E139" si="118">SUM(F139:P139)</f>
        <v>470090.54490000004</v>
      </c>
      <c r="F139" s="194">
        <f>24291*(B$6+1)*12</f>
        <v>311896.44000000006</v>
      </c>
      <c r="G139" s="185">
        <f t="shared" si="117"/>
        <v>68617.216800000009</v>
      </c>
      <c r="H139" s="185">
        <f t="shared" si="94"/>
        <v>49703.64</v>
      </c>
      <c r="I139" s="185">
        <f t="shared" si="95"/>
        <v>8400</v>
      </c>
      <c r="J139" s="198">
        <v>1926</v>
      </c>
      <c r="K139" s="185">
        <f t="shared" ref="K139:K141" si="119">0*12</f>
        <v>0</v>
      </c>
      <c r="L139" s="185">
        <v>93</v>
      </c>
      <c r="M139" s="185">
        <f t="shared" si="99"/>
        <v>3462.8781000000008</v>
      </c>
      <c r="N139" s="185">
        <f t="shared" ref="N139" si="120">F139/12</f>
        <v>25991.370000000006</v>
      </c>
      <c r="O139" s="185"/>
    </row>
    <row r="140" spans="1:112" x14ac:dyDescent="0.2">
      <c r="A140" s="195" t="s">
        <v>43</v>
      </c>
      <c r="B140" s="195"/>
      <c r="C140" s="195" t="s">
        <v>343</v>
      </c>
      <c r="D140" s="195">
        <v>8</v>
      </c>
      <c r="E140" s="194">
        <f t="shared" si="98"/>
        <v>403977.19854166667</v>
      </c>
      <c r="F140" s="194">
        <f>244475*(B$6+1)</f>
        <v>261588.25000000003</v>
      </c>
      <c r="G140" s="185">
        <f t="shared" si="117"/>
        <v>57549.415000000008</v>
      </c>
      <c r="H140" s="185">
        <f t="shared" si="94"/>
        <v>49703.64</v>
      </c>
      <c r="I140" s="185">
        <f t="shared" si="95"/>
        <v>8400</v>
      </c>
      <c r="J140" s="198">
        <v>1926</v>
      </c>
      <c r="K140" s="185">
        <f>0*12</f>
        <v>0</v>
      </c>
      <c r="L140" s="185">
        <v>93</v>
      </c>
      <c r="M140" s="185">
        <f t="shared" si="99"/>
        <v>2917.8727083333338</v>
      </c>
      <c r="N140" s="185">
        <f t="shared" ref="N140:N151" si="121">F140/12</f>
        <v>21799.020833333336</v>
      </c>
      <c r="O140" s="185"/>
    </row>
    <row r="141" spans="1:112" x14ac:dyDescent="0.2">
      <c r="A141" s="195" t="s">
        <v>458</v>
      </c>
      <c r="B141" s="216"/>
      <c r="C141" s="195" t="s">
        <v>352</v>
      </c>
      <c r="D141" s="195">
        <v>7</v>
      </c>
      <c r="E141" s="194">
        <f t="shared" ref="E141" si="122">SUM(F141:P141)</f>
        <v>470090.54490000004</v>
      </c>
      <c r="F141" s="194">
        <f>24291*(B$6+1)*12</f>
        <v>311896.44000000006</v>
      </c>
      <c r="G141" s="185">
        <f t="shared" ref="G141" si="123">F141*0.22</f>
        <v>68617.216800000009</v>
      </c>
      <c r="H141" s="185">
        <f t="shared" si="94"/>
        <v>49703.64</v>
      </c>
      <c r="I141" s="185">
        <f t="shared" si="95"/>
        <v>8400</v>
      </c>
      <c r="J141" s="198">
        <v>1926</v>
      </c>
      <c r="K141" s="185">
        <f t="shared" si="119"/>
        <v>0</v>
      </c>
      <c r="L141" s="185">
        <v>93</v>
      </c>
      <c r="M141" s="185">
        <f t="shared" ref="M141" si="124">(N141+I141+K141+F141)*0.01</f>
        <v>3462.8781000000008</v>
      </c>
      <c r="N141" s="185">
        <f t="shared" si="121"/>
        <v>25991.370000000006</v>
      </c>
      <c r="O141" s="185"/>
    </row>
    <row r="142" spans="1:112" x14ac:dyDescent="0.2">
      <c r="A142" s="195" t="s">
        <v>440</v>
      </c>
      <c r="B142" s="195"/>
      <c r="C142" s="195" t="s">
        <v>76</v>
      </c>
      <c r="D142" s="195">
        <v>8</v>
      </c>
      <c r="E142" s="194">
        <f t="shared" ref="E142:E149" si="125">SUM(F142:P142)</f>
        <v>416114.51050000009</v>
      </c>
      <c r="F142" s="194">
        <f>21595*(B$6+1)*12</f>
        <v>277279.80000000005</v>
      </c>
      <c r="G142" s="185">
        <f t="shared" si="117"/>
        <v>61001.556000000011</v>
      </c>
      <c r="H142" s="185">
        <f t="shared" si="94"/>
        <v>49703.64</v>
      </c>
      <c r="I142" s="185">
        <f>0*12</f>
        <v>0</v>
      </c>
      <c r="J142" s="198">
        <v>1926</v>
      </c>
      <c r="K142" s="185">
        <v>0</v>
      </c>
      <c r="L142" s="185">
        <v>93</v>
      </c>
      <c r="M142" s="185">
        <f t="shared" ref="M142:M158" si="126">(N142+I142+K142+F142)*0.01</f>
        <v>3003.8645000000006</v>
      </c>
      <c r="N142" s="185">
        <f t="shared" si="121"/>
        <v>23106.650000000005</v>
      </c>
      <c r="O142" s="185"/>
    </row>
    <row r="143" spans="1:112" x14ac:dyDescent="0.2">
      <c r="A143" s="200" t="s">
        <v>682</v>
      </c>
      <c r="B143" s="214"/>
      <c r="C143" s="200" t="s">
        <v>34</v>
      </c>
      <c r="D143" s="200">
        <v>8</v>
      </c>
      <c r="E143" s="194">
        <f t="shared" si="125"/>
        <v>424598.51050000009</v>
      </c>
      <c r="F143" s="194">
        <f t="shared" ref="F143:F144" si="127">21595*(B$6+1)*12</f>
        <v>277279.80000000005</v>
      </c>
      <c r="G143" s="185">
        <f t="shared" ref="G143:G144" si="128">F143*0.22</f>
        <v>61001.556000000011</v>
      </c>
      <c r="H143" s="185">
        <f t="shared" ref="H143:H144" si="129">3871*(B$7+1)*12</f>
        <v>49703.64</v>
      </c>
      <c r="I143" s="185">
        <f t="shared" si="95"/>
        <v>8400</v>
      </c>
      <c r="J143" s="198">
        <v>1926</v>
      </c>
      <c r="K143" s="185">
        <f t="shared" ref="K143:K144" si="130">0*12</f>
        <v>0</v>
      </c>
      <c r="L143" s="185">
        <v>93</v>
      </c>
      <c r="M143" s="185">
        <f t="shared" si="126"/>
        <v>3087.8645000000006</v>
      </c>
      <c r="N143" s="185">
        <f t="shared" si="121"/>
        <v>23106.650000000005</v>
      </c>
      <c r="O143" s="185"/>
    </row>
    <row r="144" spans="1:112" x14ac:dyDescent="0.2">
      <c r="A144" s="200" t="s">
        <v>682</v>
      </c>
      <c r="B144" s="214"/>
      <c r="C144" s="200" t="s">
        <v>34</v>
      </c>
      <c r="D144" s="200">
        <v>8</v>
      </c>
      <c r="E144" s="194">
        <f t="shared" si="125"/>
        <v>424598.51050000009</v>
      </c>
      <c r="F144" s="194">
        <f t="shared" si="127"/>
        <v>277279.80000000005</v>
      </c>
      <c r="G144" s="185">
        <f t="shared" si="128"/>
        <v>61001.556000000011</v>
      </c>
      <c r="H144" s="185">
        <f t="shared" si="129"/>
        <v>49703.64</v>
      </c>
      <c r="I144" s="185">
        <f t="shared" si="95"/>
        <v>8400</v>
      </c>
      <c r="J144" s="198">
        <v>1926</v>
      </c>
      <c r="K144" s="185">
        <f t="shared" si="130"/>
        <v>0</v>
      </c>
      <c r="L144" s="185">
        <v>93</v>
      </c>
      <c r="M144" s="185">
        <f t="shared" si="126"/>
        <v>3087.8645000000006</v>
      </c>
      <c r="N144" s="185">
        <f t="shared" si="121"/>
        <v>23106.650000000005</v>
      </c>
      <c r="O144" s="185"/>
    </row>
    <row r="145" spans="1:112" x14ac:dyDescent="0.2">
      <c r="A145" s="195" t="s">
        <v>473</v>
      </c>
      <c r="B145" s="195"/>
      <c r="C145" s="195" t="s">
        <v>474</v>
      </c>
      <c r="D145" s="195">
        <v>9</v>
      </c>
      <c r="E145" s="194">
        <f t="shared" si="125"/>
        <v>366535.42060000007</v>
      </c>
      <c r="F145" s="194">
        <f>18154*(B$6+1)*12</f>
        <v>233097.36000000004</v>
      </c>
      <c r="G145" s="185">
        <f t="shared" ref="G145:G146" si="131">F145*0.22</f>
        <v>51281.419200000011</v>
      </c>
      <c r="H145" s="185">
        <f t="shared" si="94"/>
        <v>49703.64</v>
      </c>
      <c r="I145" s="185">
        <f t="shared" si="95"/>
        <v>8400</v>
      </c>
      <c r="J145" s="198">
        <v>1926</v>
      </c>
      <c r="K145" s="185">
        <f t="shared" ref="K145:K344" si="132">0*12</f>
        <v>0</v>
      </c>
      <c r="L145" s="185">
        <v>93</v>
      </c>
      <c r="M145" s="185">
        <f t="shared" ref="M145" si="133">(N145+I145+K145+F145)*0.01</f>
        <v>2609.2214000000004</v>
      </c>
      <c r="N145" s="185">
        <f t="shared" ref="N145:N146" si="134">F145/12</f>
        <v>19424.780000000002</v>
      </c>
      <c r="O145" s="185"/>
    </row>
    <row r="146" spans="1:112" s="223" customFormat="1" x14ac:dyDescent="0.2">
      <c r="A146" s="195" t="s">
        <v>741</v>
      </c>
      <c r="B146" s="195"/>
      <c r="C146" s="195" t="s">
        <v>334</v>
      </c>
      <c r="D146" s="195">
        <v>9</v>
      </c>
      <c r="E146" s="194">
        <f t="shared" si="125"/>
        <v>382059.40860000002</v>
      </c>
      <c r="F146" s="194">
        <f>19074*(B$6+1)*12</f>
        <v>244910.16</v>
      </c>
      <c r="G146" s="185">
        <f t="shared" si="131"/>
        <v>53880.235200000003</v>
      </c>
      <c r="H146" s="185">
        <f t="shared" si="94"/>
        <v>49703.64</v>
      </c>
      <c r="I146" s="185">
        <f t="shared" si="95"/>
        <v>8400</v>
      </c>
      <c r="J146" s="198">
        <v>1926</v>
      </c>
      <c r="K146" s="185"/>
      <c r="L146" s="185">
        <v>93</v>
      </c>
      <c r="M146" s="185">
        <f>(N146+I146+K146+F146)*0.01</f>
        <v>2737.1934000000001</v>
      </c>
      <c r="N146" s="185">
        <f t="shared" si="134"/>
        <v>20409.18</v>
      </c>
      <c r="O146" s="221"/>
      <c r="P146" s="221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2"/>
      <c r="CC146" s="222"/>
      <c r="CD146" s="222"/>
      <c r="CE146" s="222"/>
      <c r="CF146" s="222"/>
      <c r="CG146" s="222"/>
      <c r="CH146" s="222"/>
      <c r="CI146" s="222"/>
      <c r="CJ146" s="222"/>
      <c r="CK146" s="222"/>
      <c r="CL146" s="222"/>
      <c r="CM146" s="222"/>
      <c r="CN146" s="222"/>
      <c r="CO146" s="222"/>
      <c r="CP146" s="222"/>
      <c r="CQ146" s="222"/>
      <c r="CR146" s="222"/>
      <c r="CS146" s="222"/>
      <c r="CT146" s="222"/>
      <c r="CU146" s="222"/>
      <c r="CV146" s="222"/>
      <c r="CW146" s="222"/>
      <c r="CX146" s="222"/>
      <c r="CY146" s="222"/>
      <c r="CZ146" s="222"/>
      <c r="DA146" s="222"/>
      <c r="DB146" s="222"/>
      <c r="DC146" s="222"/>
      <c r="DD146" s="222"/>
      <c r="DE146" s="222"/>
      <c r="DF146" s="222"/>
      <c r="DG146" s="222"/>
      <c r="DH146" s="222"/>
    </row>
    <row r="147" spans="1:112" s="223" customFormat="1" x14ac:dyDescent="0.2">
      <c r="A147" s="195" t="s">
        <v>51</v>
      </c>
      <c r="B147" s="195"/>
      <c r="C147" s="195" t="s">
        <v>523</v>
      </c>
      <c r="D147" s="195">
        <v>9</v>
      </c>
      <c r="E147" s="194">
        <f t="shared" si="125"/>
        <v>382059.40860000002</v>
      </c>
      <c r="F147" s="194">
        <f>19074*(B$6+1)*12</f>
        <v>244910.16</v>
      </c>
      <c r="G147" s="185">
        <f t="shared" ref="G147:G149" si="135">F147*0.22</f>
        <v>53880.235200000003</v>
      </c>
      <c r="H147" s="185">
        <f t="shared" si="94"/>
        <v>49703.64</v>
      </c>
      <c r="I147" s="185">
        <f t="shared" si="95"/>
        <v>8400</v>
      </c>
      <c r="J147" s="198">
        <v>1926</v>
      </c>
      <c r="K147" s="185"/>
      <c r="L147" s="185">
        <v>93</v>
      </c>
      <c r="M147" s="185">
        <f>(N147+I147+K147+F147)*0.01</f>
        <v>2737.1934000000001</v>
      </c>
      <c r="N147" s="185">
        <f t="shared" ref="N147:N149" si="136">F147/12</f>
        <v>20409.18</v>
      </c>
      <c r="O147" s="221"/>
      <c r="P147" s="221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222"/>
      <c r="BK147" s="222"/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/>
      <c r="BX147" s="222"/>
      <c r="BY147" s="222"/>
      <c r="BZ147" s="222"/>
      <c r="CA147" s="222"/>
      <c r="CB147" s="222"/>
      <c r="CC147" s="222"/>
      <c r="CD147" s="222"/>
      <c r="CE147" s="222"/>
      <c r="CF147" s="222"/>
      <c r="CG147" s="222"/>
      <c r="CH147" s="222"/>
      <c r="CI147" s="222"/>
      <c r="CJ147" s="222"/>
      <c r="CK147" s="222"/>
      <c r="CL147" s="222"/>
      <c r="CM147" s="222"/>
      <c r="CN147" s="222"/>
      <c r="CO147" s="222"/>
      <c r="CP147" s="222"/>
      <c r="CQ147" s="222"/>
      <c r="CR147" s="222"/>
      <c r="CS147" s="222"/>
      <c r="CT147" s="222"/>
      <c r="CU147" s="222"/>
      <c r="CV147" s="222"/>
      <c r="CW147" s="222"/>
      <c r="CX147" s="222"/>
      <c r="CY147" s="222"/>
      <c r="CZ147" s="222"/>
      <c r="DA147" s="222"/>
      <c r="DB147" s="222"/>
      <c r="DC147" s="222"/>
      <c r="DD147" s="222"/>
      <c r="DE147" s="222"/>
      <c r="DF147" s="222"/>
      <c r="DG147" s="222"/>
      <c r="DH147" s="222"/>
    </row>
    <row r="148" spans="1:112" x14ac:dyDescent="0.2">
      <c r="A148" s="195" t="s">
        <v>51</v>
      </c>
      <c r="B148" s="213"/>
      <c r="C148" s="184" t="s">
        <v>61</v>
      </c>
      <c r="D148" s="184">
        <v>9</v>
      </c>
      <c r="E148" s="185">
        <f t="shared" si="125"/>
        <v>476716.60860000004</v>
      </c>
      <c r="F148" s="185">
        <f>19074*(B$6+1)*12</f>
        <v>244910.16</v>
      </c>
      <c r="G148" s="185">
        <f t="shared" si="135"/>
        <v>53880.235200000003</v>
      </c>
      <c r="H148" s="185">
        <f>3871*(B$7+1)*12</f>
        <v>49703.64</v>
      </c>
      <c r="I148" s="185">
        <f t="shared" si="95"/>
        <v>8400</v>
      </c>
      <c r="J148" s="198">
        <v>1926</v>
      </c>
      <c r="K148" s="185">
        <f>7810*12</f>
        <v>93720</v>
      </c>
      <c r="L148" s="185">
        <v>93</v>
      </c>
      <c r="M148" s="185">
        <f>(N148+I148+K148+F148)*0.01</f>
        <v>3674.3933999999999</v>
      </c>
      <c r="N148" s="185">
        <f t="shared" si="136"/>
        <v>20409.18</v>
      </c>
      <c r="O148" s="185"/>
    </row>
    <row r="149" spans="1:112" x14ac:dyDescent="0.2">
      <c r="A149" s="195" t="s">
        <v>740</v>
      </c>
      <c r="B149" s="213"/>
      <c r="C149" s="195" t="s">
        <v>534</v>
      </c>
      <c r="D149" s="184">
        <v>9</v>
      </c>
      <c r="E149" s="185">
        <f t="shared" si="125"/>
        <v>337849.79060000007</v>
      </c>
      <c r="F149" s="185">
        <f>16454*(B$6+1)*12</f>
        <v>211269.36000000004</v>
      </c>
      <c r="G149" s="185">
        <f t="shared" si="135"/>
        <v>46479.259200000008</v>
      </c>
      <c r="H149" s="185">
        <f>3871*(B$7+1)*12</f>
        <v>49703.64</v>
      </c>
      <c r="I149" s="185">
        <f t="shared" si="95"/>
        <v>8400</v>
      </c>
      <c r="J149" s="198">
        <v>1926</v>
      </c>
      <c r="K149" s="185"/>
      <c r="L149" s="185">
        <v>93</v>
      </c>
      <c r="M149" s="185">
        <f>(N149+I149+K149+F149)*0.01</f>
        <v>2372.7514000000006</v>
      </c>
      <c r="N149" s="185">
        <f t="shared" si="136"/>
        <v>17605.780000000002</v>
      </c>
      <c r="O149" s="185"/>
    </row>
    <row r="150" spans="1:112" x14ac:dyDescent="0.2">
      <c r="A150" s="195" t="s">
        <v>393</v>
      </c>
      <c r="B150" s="216"/>
      <c r="C150" s="195" t="s">
        <v>400</v>
      </c>
      <c r="D150" s="195">
        <v>11</v>
      </c>
      <c r="E150" s="194">
        <f t="shared" si="98"/>
        <v>287228.09060000005</v>
      </c>
      <c r="F150" s="194">
        <f>13454*(B$6+1)*12</f>
        <v>172749.36000000002</v>
      </c>
      <c r="G150" s="185">
        <f t="shared" si="117"/>
        <v>38004.859200000006</v>
      </c>
      <c r="H150" s="185">
        <f t="shared" si="94"/>
        <v>49703.64</v>
      </c>
      <c r="I150" s="185">
        <f t="shared" si="95"/>
        <v>8400</v>
      </c>
      <c r="J150" s="198">
        <v>1926</v>
      </c>
      <c r="K150" s="185">
        <f t="shared" si="132"/>
        <v>0</v>
      </c>
      <c r="L150" s="185">
        <v>93</v>
      </c>
      <c r="M150" s="185">
        <f t="shared" ref="M150" si="137">(N150+I150+K150+F150)*0.01</f>
        <v>1955.4514000000001</v>
      </c>
      <c r="N150" s="185">
        <f t="shared" si="121"/>
        <v>14395.78</v>
      </c>
      <c r="O150" s="185"/>
    </row>
    <row r="151" spans="1:112" x14ac:dyDescent="0.2">
      <c r="A151" s="195" t="s">
        <v>22</v>
      </c>
      <c r="B151" s="224"/>
      <c r="C151" s="195" t="s">
        <v>353</v>
      </c>
      <c r="D151" s="195">
        <v>9</v>
      </c>
      <c r="E151" s="194">
        <f t="shared" si="98"/>
        <v>382059.40860000002</v>
      </c>
      <c r="F151" s="194">
        <f>19074*(B$6+1)*12</f>
        <v>244910.16</v>
      </c>
      <c r="G151" s="185">
        <f t="shared" si="117"/>
        <v>53880.235200000003</v>
      </c>
      <c r="H151" s="185">
        <f t="shared" si="94"/>
        <v>49703.64</v>
      </c>
      <c r="I151" s="185">
        <f t="shared" si="95"/>
        <v>8400</v>
      </c>
      <c r="J151" s="198">
        <v>1926</v>
      </c>
      <c r="K151" s="185">
        <f t="shared" si="132"/>
        <v>0</v>
      </c>
      <c r="L151" s="185">
        <v>93</v>
      </c>
      <c r="M151" s="185">
        <f t="shared" si="126"/>
        <v>2737.1934000000001</v>
      </c>
      <c r="N151" s="185">
        <f t="shared" si="121"/>
        <v>20409.18</v>
      </c>
      <c r="O151" s="185"/>
    </row>
    <row r="152" spans="1:112" s="226" customFormat="1" x14ac:dyDescent="0.2">
      <c r="A152" s="195" t="s">
        <v>21</v>
      </c>
      <c r="B152" s="224"/>
      <c r="C152" s="195" t="s">
        <v>296</v>
      </c>
      <c r="D152" s="195">
        <v>10</v>
      </c>
      <c r="E152" s="194">
        <f t="shared" si="98"/>
        <v>325244.98730000004</v>
      </c>
      <c r="F152" s="194">
        <f>15707*(B$6+1)*12</f>
        <v>201677.88</v>
      </c>
      <c r="G152" s="185">
        <f t="shared" ref="G152:G158" si="138">F152*0.22</f>
        <v>44369.133600000001</v>
      </c>
      <c r="H152" s="185">
        <f t="shared" si="94"/>
        <v>49703.64</v>
      </c>
      <c r="I152" s="185">
        <f t="shared" si="95"/>
        <v>8400</v>
      </c>
      <c r="J152" s="198">
        <v>1926</v>
      </c>
      <c r="K152" s="185">
        <f t="shared" si="132"/>
        <v>0</v>
      </c>
      <c r="L152" s="185">
        <v>93</v>
      </c>
      <c r="M152" s="185">
        <f t="shared" si="126"/>
        <v>2268.8436999999999</v>
      </c>
      <c r="N152" s="185">
        <f t="shared" ref="N152:N158" si="139">F152/12</f>
        <v>16806.490000000002</v>
      </c>
      <c r="O152" s="185"/>
      <c r="P152" s="225"/>
    </row>
    <row r="153" spans="1:112" x14ac:dyDescent="0.2">
      <c r="A153" s="195" t="s">
        <v>21</v>
      </c>
      <c r="B153" s="195"/>
      <c r="C153" s="195" t="s">
        <v>297</v>
      </c>
      <c r="D153" s="195">
        <v>10</v>
      </c>
      <c r="E153" s="194">
        <f t="shared" si="98"/>
        <v>325244.98730000004</v>
      </c>
      <c r="F153" s="194">
        <f>15707*(B$6+1)*12</f>
        <v>201677.88</v>
      </c>
      <c r="G153" s="185">
        <f t="shared" si="138"/>
        <v>44369.133600000001</v>
      </c>
      <c r="H153" s="185">
        <f t="shared" si="94"/>
        <v>49703.64</v>
      </c>
      <c r="I153" s="185">
        <f t="shared" si="95"/>
        <v>8400</v>
      </c>
      <c r="J153" s="198">
        <v>1926</v>
      </c>
      <c r="K153" s="185">
        <f t="shared" si="132"/>
        <v>0</v>
      </c>
      <c r="L153" s="185">
        <v>93</v>
      </c>
      <c r="M153" s="185">
        <f t="shared" si="126"/>
        <v>2268.8436999999999</v>
      </c>
      <c r="N153" s="185">
        <f t="shared" si="139"/>
        <v>16806.490000000002</v>
      </c>
      <c r="O153" s="185"/>
    </row>
    <row r="154" spans="1:112" x14ac:dyDescent="0.2">
      <c r="A154" s="195" t="s">
        <v>579</v>
      </c>
      <c r="C154" s="195" t="s">
        <v>293</v>
      </c>
      <c r="D154" s="184">
        <v>10</v>
      </c>
      <c r="E154" s="185">
        <f t="shared" si="98"/>
        <v>325244.98730000004</v>
      </c>
      <c r="F154" s="185">
        <f>15707*(B$6+1)*12</f>
        <v>201677.88</v>
      </c>
      <c r="G154" s="185">
        <f t="shared" si="138"/>
        <v>44369.133600000001</v>
      </c>
      <c r="H154" s="185">
        <f t="shared" si="94"/>
        <v>49703.64</v>
      </c>
      <c r="I154" s="185">
        <f t="shared" si="95"/>
        <v>8400</v>
      </c>
      <c r="J154" s="198">
        <v>1926</v>
      </c>
      <c r="K154" s="185">
        <f t="shared" si="132"/>
        <v>0</v>
      </c>
      <c r="L154" s="185">
        <v>93</v>
      </c>
      <c r="M154" s="185">
        <f t="shared" si="126"/>
        <v>2268.8436999999999</v>
      </c>
      <c r="N154" s="185">
        <f t="shared" si="139"/>
        <v>16806.490000000002</v>
      </c>
      <c r="O154" s="185"/>
    </row>
    <row r="155" spans="1:112" x14ac:dyDescent="0.2">
      <c r="A155" s="195" t="s">
        <v>51</v>
      </c>
      <c r="C155" s="195" t="s">
        <v>484</v>
      </c>
      <c r="D155" s="184">
        <v>8</v>
      </c>
      <c r="E155" s="185">
        <f t="shared" si="98"/>
        <v>424598.51050000009</v>
      </c>
      <c r="F155" s="185">
        <f>21595*(B$6+1)*12</f>
        <v>277279.80000000005</v>
      </c>
      <c r="G155" s="185">
        <f t="shared" si="138"/>
        <v>61001.556000000011</v>
      </c>
      <c r="H155" s="185">
        <f t="shared" si="94"/>
        <v>49703.64</v>
      </c>
      <c r="I155" s="185">
        <f t="shared" si="95"/>
        <v>8400</v>
      </c>
      <c r="J155" s="198">
        <v>1926</v>
      </c>
      <c r="K155" s="185">
        <f t="shared" si="132"/>
        <v>0</v>
      </c>
      <c r="L155" s="185">
        <v>93</v>
      </c>
      <c r="M155" s="185">
        <f t="shared" si="126"/>
        <v>3087.8645000000006</v>
      </c>
      <c r="N155" s="185">
        <f t="shared" si="139"/>
        <v>23106.650000000005</v>
      </c>
      <c r="O155" s="185"/>
    </row>
    <row r="156" spans="1:112" x14ac:dyDescent="0.2">
      <c r="A156" s="195" t="s">
        <v>51</v>
      </c>
      <c r="C156" s="184" t="s">
        <v>415</v>
      </c>
      <c r="D156" s="184">
        <v>9</v>
      </c>
      <c r="E156" s="185">
        <f>SUM(F156:P156)</f>
        <v>382059.40860000002</v>
      </c>
      <c r="F156" s="185">
        <f>19074*(B$6+1)*12</f>
        <v>244910.16</v>
      </c>
      <c r="G156" s="185">
        <f>F156*0.22</f>
        <v>53880.235200000003</v>
      </c>
      <c r="H156" s="185">
        <f t="shared" si="94"/>
        <v>49703.64</v>
      </c>
      <c r="I156" s="185">
        <f t="shared" si="95"/>
        <v>8400</v>
      </c>
      <c r="J156" s="198">
        <v>1926</v>
      </c>
      <c r="K156" s="185">
        <f>0*12</f>
        <v>0</v>
      </c>
      <c r="L156" s="185">
        <v>93</v>
      </c>
      <c r="M156" s="185">
        <f>(N156+I156+K156+F156)*0.01</f>
        <v>2737.1934000000001</v>
      </c>
      <c r="N156" s="185">
        <f>F156/12</f>
        <v>20409.18</v>
      </c>
      <c r="O156" s="185"/>
    </row>
    <row r="157" spans="1:112" x14ac:dyDescent="0.2">
      <c r="A157" s="195" t="s">
        <v>232</v>
      </c>
      <c r="B157" s="213"/>
      <c r="C157" s="195" t="s">
        <v>295</v>
      </c>
      <c r="D157" s="184">
        <v>12</v>
      </c>
      <c r="E157" s="185">
        <f t="shared" si="98"/>
        <v>262170.34909999999</v>
      </c>
      <c r="F157" s="185">
        <f>11969*(B$6+1)*12</f>
        <v>153681.96</v>
      </c>
      <c r="G157" s="185">
        <f t="shared" si="138"/>
        <v>33810.031199999998</v>
      </c>
      <c r="H157" s="185">
        <f t="shared" si="94"/>
        <v>49703.64</v>
      </c>
      <c r="I157" s="185">
        <f t="shared" si="95"/>
        <v>8400</v>
      </c>
      <c r="J157" s="198">
        <v>1926</v>
      </c>
      <c r="K157" s="185">
        <f>0*12</f>
        <v>0</v>
      </c>
      <c r="L157" s="185">
        <v>93</v>
      </c>
      <c r="M157" s="185">
        <f t="shared" si="126"/>
        <v>1748.8878999999997</v>
      </c>
      <c r="N157" s="185">
        <f t="shared" si="139"/>
        <v>12806.83</v>
      </c>
      <c r="O157" s="185"/>
    </row>
    <row r="158" spans="1:112" x14ac:dyDescent="0.2">
      <c r="A158" s="195" t="s">
        <v>232</v>
      </c>
      <c r="C158" s="195" t="s">
        <v>459</v>
      </c>
      <c r="D158" s="184">
        <v>12</v>
      </c>
      <c r="E158" s="185">
        <f t="shared" si="98"/>
        <v>247928.77749999997</v>
      </c>
      <c r="F158" s="185">
        <f>11125*(B$6+1)*12</f>
        <v>142845</v>
      </c>
      <c r="G158" s="185">
        <f t="shared" si="138"/>
        <v>31425.9</v>
      </c>
      <c r="H158" s="185">
        <f t="shared" si="94"/>
        <v>49703.64</v>
      </c>
      <c r="I158" s="185">
        <f t="shared" si="95"/>
        <v>8400</v>
      </c>
      <c r="J158" s="198">
        <v>1926</v>
      </c>
      <c r="K158" s="185">
        <v>0</v>
      </c>
      <c r="L158" s="185">
        <v>93</v>
      </c>
      <c r="M158" s="185">
        <f t="shared" si="126"/>
        <v>1631.4875</v>
      </c>
      <c r="N158" s="185">
        <f t="shared" si="139"/>
        <v>11903.75</v>
      </c>
      <c r="O158" s="185"/>
    </row>
    <row r="159" spans="1:112" x14ac:dyDescent="0.2">
      <c r="A159" s="184" t="s">
        <v>329</v>
      </c>
      <c r="E159" s="185">
        <f t="shared" si="98"/>
        <v>0</v>
      </c>
      <c r="F159" s="185"/>
      <c r="G159" s="185"/>
      <c r="H159" s="185"/>
      <c r="I159" s="185"/>
      <c r="J159" s="198"/>
      <c r="K159" s="185"/>
      <c r="L159" s="185"/>
      <c r="M159" s="185"/>
      <c r="N159" s="185"/>
      <c r="O159" s="185"/>
    </row>
    <row r="160" spans="1:112" x14ac:dyDescent="0.2">
      <c r="A160" s="184" t="s">
        <v>157</v>
      </c>
      <c r="E160" s="185">
        <f t="shared" si="98"/>
        <v>80000</v>
      </c>
      <c r="F160" s="185"/>
      <c r="G160" s="185"/>
      <c r="H160" s="185"/>
      <c r="I160" s="185"/>
      <c r="J160" s="198"/>
      <c r="K160" s="185"/>
      <c r="L160" s="185"/>
      <c r="M160" s="185"/>
      <c r="N160" s="185"/>
      <c r="O160" s="185">
        <v>80000</v>
      </c>
    </row>
    <row r="161" spans="1:112" x14ac:dyDescent="0.2">
      <c r="A161" s="184" t="s">
        <v>164</v>
      </c>
      <c r="C161" s="184" t="s">
        <v>164</v>
      </c>
      <c r="E161" s="185">
        <f t="shared" si="98"/>
        <v>157200</v>
      </c>
      <c r="F161" s="185"/>
      <c r="G161" s="185"/>
      <c r="H161" s="185"/>
      <c r="I161" s="185"/>
      <c r="J161" s="198"/>
      <c r="K161" s="185"/>
      <c r="L161" s="185"/>
      <c r="M161" s="185"/>
      <c r="N161" s="185"/>
      <c r="O161" s="185"/>
      <c r="P161" s="185">
        <v>157200</v>
      </c>
    </row>
    <row r="162" spans="1:112" ht="13.5" thickBot="1" x14ac:dyDescent="0.25">
      <c r="E162" s="205">
        <f t="shared" ref="E162:P162" si="140">SUM(E116:E161)</f>
        <v>20342275.634141676</v>
      </c>
      <c r="F162" s="205">
        <f t="shared" si="140"/>
        <v>12197690.770000007</v>
      </c>
      <c r="G162" s="205">
        <f t="shared" si="140"/>
        <v>2599427.0038000005</v>
      </c>
      <c r="H162" s="205">
        <f t="shared" si="140"/>
        <v>1888738.3199999984</v>
      </c>
      <c r="I162" s="205">
        <f t="shared" si="140"/>
        <v>302400</v>
      </c>
      <c r="J162" s="205">
        <f t="shared" si="140"/>
        <v>73188</v>
      </c>
      <c r="K162" s="205">
        <f t="shared" si="140"/>
        <v>1844040</v>
      </c>
      <c r="L162" s="205">
        <f t="shared" si="140"/>
        <v>3534</v>
      </c>
      <c r="M162" s="205">
        <f t="shared" si="140"/>
        <v>143460.15230833332</v>
      </c>
      <c r="N162" s="205">
        <f t="shared" si="140"/>
        <v>1052597.3880333337</v>
      </c>
      <c r="O162" s="205">
        <f t="shared" si="140"/>
        <v>80000</v>
      </c>
      <c r="P162" s="205">
        <f t="shared" si="140"/>
        <v>157200</v>
      </c>
    </row>
    <row r="163" spans="1:112" ht="13.5" thickTop="1" x14ac:dyDescent="0.2">
      <c r="C163" s="184" t="s">
        <v>199</v>
      </c>
      <c r="D163" s="184">
        <f>COUNT(D116:D162)</f>
        <v>43</v>
      </c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</row>
    <row r="164" spans="1:112" x14ac:dyDescent="0.2">
      <c r="C164" s="184" t="s">
        <v>108</v>
      </c>
      <c r="D164" s="184">
        <v>42</v>
      </c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</row>
    <row r="165" spans="1:112" x14ac:dyDescent="0.2">
      <c r="A165" s="192" t="s">
        <v>112</v>
      </c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</row>
    <row r="166" spans="1:112" x14ac:dyDescent="0.2">
      <c r="C166" s="184" t="s">
        <v>176</v>
      </c>
      <c r="D166" s="193" t="s">
        <v>177</v>
      </c>
      <c r="E166" s="193" t="s">
        <v>178</v>
      </c>
      <c r="F166" s="193" t="s">
        <v>179</v>
      </c>
      <c r="G166" s="193" t="s">
        <v>180</v>
      </c>
      <c r="H166" s="193" t="s">
        <v>181</v>
      </c>
      <c r="I166" s="193" t="s">
        <v>182</v>
      </c>
      <c r="J166" s="193" t="s">
        <v>183</v>
      </c>
      <c r="K166" s="193" t="s">
        <v>184</v>
      </c>
      <c r="L166" s="193" t="s">
        <v>185</v>
      </c>
      <c r="M166" s="193" t="s">
        <v>186</v>
      </c>
      <c r="N166" s="193" t="s">
        <v>187</v>
      </c>
      <c r="O166" s="193" t="s">
        <v>372</v>
      </c>
      <c r="P166" s="185" t="s">
        <v>164</v>
      </c>
    </row>
    <row r="167" spans="1:112" x14ac:dyDescent="0.2">
      <c r="D167" s="193" t="s">
        <v>188</v>
      </c>
      <c r="E167" s="193" t="s">
        <v>189</v>
      </c>
      <c r="F167" s="193"/>
      <c r="G167" s="193" t="s">
        <v>190</v>
      </c>
      <c r="H167" s="193" t="s">
        <v>190</v>
      </c>
      <c r="I167" s="193" t="s">
        <v>191</v>
      </c>
      <c r="J167" s="193"/>
      <c r="K167" s="193" t="s">
        <v>192</v>
      </c>
      <c r="L167" s="193" t="s">
        <v>193</v>
      </c>
      <c r="M167" s="193" t="s">
        <v>194</v>
      </c>
      <c r="N167" s="193" t="s">
        <v>195</v>
      </c>
      <c r="O167" s="193" t="s">
        <v>192</v>
      </c>
    </row>
    <row r="168" spans="1:112" s="204" customFormat="1" x14ac:dyDescent="0.2">
      <c r="A168" s="210" t="s">
        <v>780</v>
      </c>
      <c r="B168" s="184"/>
      <c r="C168" s="184" t="s">
        <v>452</v>
      </c>
      <c r="D168" s="184">
        <v>0</v>
      </c>
      <c r="E168" s="185">
        <f>SUM(F168:P168)</f>
        <v>1014409.7208000001</v>
      </c>
      <c r="F168" s="185">
        <f>48758*(B$6+1)*12</f>
        <v>626052.72000000009</v>
      </c>
      <c r="G168" s="185">
        <f>41084+(41084*9.5%)</f>
        <v>44986.98</v>
      </c>
      <c r="H168" s="185">
        <f t="shared" ref="H168:H176" si="141">3871*(B$7+1)*12</f>
        <v>49703.64</v>
      </c>
      <c r="I168" s="185">
        <f>0*12</f>
        <v>0</v>
      </c>
      <c r="J168" s="198">
        <v>1926</v>
      </c>
      <c r="K168" s="185">
        <f>17000*12</f>
        <v>204000</v>
      </c>
      <c r="L168" s="185">
        <v>93</v>
      </c>
      <c r="M168" s="185">
        <v>0</v>
      </c>
      <c r="N168" s="185">
        <f>F168*0.14</f>
        <v>87647.380800000014</v>
      </c>
      <c r="O168" s="185"/>
      <c r="P168" s="185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  <c r="AW168" s="184"/>
      <c r="AX168" s="184"/>
      <c r="AY168" s="184"/>
      <c r="AZ168" s="184"/>
      <c r="BA168" s="184"/>
      <c r="BB168" s="184"/>
      <c r="BC168" s="184"/>
      <c r="BD168" s="184"/>
      <c r="BE168" s="184"/>
      <c r="BF168" s="184"/>
      <c r="BG168" s="184"/>
      <c r="BH168" s="184"/>
      <c r="BI168" s="184"/>
      <c r="BJ168" s="184"/>
      <c r="BK168" s="184"/>
      <c r="BL168" s="184"/>
      <c r="BM168" s="184"/>
      <c r="BN168" s="184"/>
      <c r="BO168" s="184"/>
      <c r="BP168" s="184"/>
      <c r="BQ168" s="184"/>
      <c r="BR168" s="184"/>
      <c r="BS168" s="184"/>
      <c r="BT168" s="184"/>
      <c r="BU168" s="184"/>
      <c r="BV168" s="184"/>
      <c r="BW168" s="184"/>
      <c r="BX168" s="184"/>
      <c r="BY168" s="184"/>
      <c r="BZ168" s="184"/>
      <c r="CA168" s="184"/>
      <c r="CB168" s="184"/>
      <c r="CC168" s="184"/>
      <c r="CD168" s="184"/>
      <c r="CE168" s="184"/>
      <c r="CF168" s="184"/>
      <c r="CG168" s="184"/>
      <c r="CH168" s="184"/>
      <c r="CI168" s="184"/>
      <c r="CJ168" s="184"/>
      <c r="CK168" s="184"/>
      <c r="CL168" s="184"/>
      <c r="CM168" s="184"/>
      <c r="CN168" s="184"/>
      <c r="CO168" s="184"/>
      <c r="CP168" s="184"/>
      <c r="CQ168" s="184"/>
      <c r="CR168" s="184"/>
      <c r="CS168" s="184"/>
      <c r="CT168" s="184"/>
      <c r="CU168" s="184"/>
      <c r="CV168" s="184"/>
      <c r="CW168" s="184"/>
      <c r="CX168" s="184"/>
      <c r="CY168" s="184"/>
      <c r="CZ168" s="184"/>
      <c r="DA168" s="184"/>
      <c r="DB168" s="184"/>
      <c r="DC168" s="184"/>
      <c r="DD168" s="184"/>
      <c r="DE168" s="184"/>
      <c r="DF168" s="184"/>
      <c r="DG168" s="184"/>
      <c r="DH168" s="184"/>
    </row>
    <row r="169" spans="1:112" s="227" customFormat="1" x14ac:dyDescent="0.2">
      <c r="A169" s="211" t="s">
        <v>781</v>
      </c>
      <c r="B169" s="200"/>
      <c r="C169" s="200" t="s">
        <v>34</v>
      </c>
      <c r="D169" s="200">
        <v>8</v>
      </c>
      <c r="E169" s="201"/>
      <c r="F169" s="201"/>
      <c r="G169" s="201"/>
      <c r="H169" s="201"/>
      <c r="I169" s="201"/>
      <c r="J169" s="202"/>
      <c r="K169" s="201"/>
      <c r="L169" s="201"/>
      <c r="M169" s="201"/>
      <c r="N169" s="201"/>
      <c r="O169" s="201"/>
      <c r="P169" s="201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00"/>
      <c r="AU169" s="200"/>
      <c r="AV169" s="200"/>
      <c r="AW169" s="200"/>
      <c r="AX169" s="200"/>
      <c r="AY169" s="200"/>
      <c r="AZ169" s="200"/>
      <c r="BA169" s="200"/>
      <c r="BB169" s="200"/>
      <c r="BC169" s="200"/>
      <c r="BD169" s="200"/>
      <c r="BE169" s="200"/>
      <c r="BF169" s="200"/>
      <c r="BG169" s="200"/>
      <c r="BH169" s="200"/>
      <c r="BI169" s="200"/>
      <c r="BJ169" s="200"/>
      <c r="BK169" s="200"/>
      <c r="BL169" s="200"/>
      <c r="BM169" s="200"/>
      <c r="BN169" s="200"/>
      <c r="BO169" s="200"/>
      <c r="BP169" s="200"/>
      <c r="BQ169" s="200"/>
      <c r="BR169" s="200"/>
      <c r="BS169" s="200"/>
      <c r="BT169" s="200"/>
      <c r="BU169" s="200"/>
      <c r="BV169" s="200"/>
      <c r="BW169" s="200"/>
      <c r="BX169" s="200"/>
      <c r="BY169" s="200"/>
      <c r="BZ169" s="200"/>
      <c r="CA169" s="200"/>
      <c r="CB169" s="200"/>
      <c r="CC169" s="200"/>
      <c r="CD169" s="200"/>
      <c r="CE169" s="200"/>
      <c r="CF169" s="200"/>
      <c r="CG169" s="200"/>
      <c r="CH169" s="200"/>
      <c r="CI169" s="200"/>
      <c r="CJ169" s="200"/>
      <c r="CK169" s="200"/>
      <c r="CL169" s="200"/>
      <c r="CM169" s="200"/>
      <c r="CN169" s="200"/>
      <c r="CO169" s="200"/>
      <c r="CP169" s="200"/>
      <c r="CQ169" s="200"/>
      <c r="CR169" s="200"/>
      <c r="CS169" s="200"/>
      <c r="CT169" s="200"/>
      <c r="CU169" s="200"/>
      <c r="CV169" s="200"/>
      <c r="CW169" s="200"/>
      <c r="CX169" s="200"/>
      <c r="CY169" s="200"/>
      <c r="CZ169" s="200"/>
      <c r="DA169" s="200"/>
      <c r="DB169" s="200"/>
      <c r="DC169" s="200"/>
      <c r="DD169" s="200"/>
      <c r="DE169" s="200"/>
      <c r="DF169" s="200"/>
      <c r="DG169" s="200"/>
      <c r="DH169" s="200"/>
    </row>
    <row r="170" spans="1:112" x14ac:dyDescent="0.2">
      <c r="A170" s="195" t="s">
        <v>782</v>
      </c>
      <c r="C170" s="184" t="s">
        <v>63</v>
      </c>
      <c r="D170" s="184">
        <v>2</v>
      </c>
      <c r="E170" s="185">
        <f t="shared" ref="E170:E184" si="142">SUM(F170:P170)</f>
        <v>1011804.6731000001</v>
      </c>
      <c r="F170" s="185">
        <f>47129*(B$6+1)*12</f>
        <v>605136.3600000001</v>
      </c>
      <c r="G170" s="185">
        <f t="shared" ref="G170" si="143">F170*0.22</f>
        <v>133129.99920000002</v>
      </c>
      <c r="H170" s="185">
        <f t="shared" si="141"/>
        <v>49703.64</v>
      </c>
      <c r="I170" s="185">
        <f t="shared" ref="I170:I176" si="144">700*12</f>
        <v>8400</v>
      </c>
      <c r="J170" s="198">
        <v>1926</v>
      </c>
      <c r="K170" s="194">
        <f t="shared" ref="K170:K172" si="145">12900*12</f>
        <v>154800</v>
      </c>
      <c r="L170" s="185">
        <v>93</v>
      </c>
      <c r="M170" s="185">
        <f t="shared" ref="M170:M175" si="146">(N170+I170+K170+F170)*0.01</f>
        <v>8187.6439000000018</v>
      </c>
      <c r="N170" s="185">
        <f t="shared" ref="N170" si="147">F170/12</f>
        <v>50428.030000000006</v>
      </c>
      <c r="O170" s="185"/>
    </row>
    <row r="171" spans="1:112" x14ac:dyDescent="0.2">
      <c r="A171" s="195" t="s">
        <v>783</v>
      </c>
      <c r="C171" s="195" t="s">
        <v>544</v>
      </c>
      <c r="D171" s="184">
        <v>2</v>
      </c>
      <c r="E171" s="185">
        <f t="shared" si="142"/>
        <v>1011804.6731000001</v>
      </c>
      <c r="F171" s="185">
        <f>47129*(B$6+1)*12</f>
        <v>605136.3600000001</v>
      </c>
      <c r="G171" s="185">
        <f>F171*0.22</f>
        <v>133129.99920000002</v>
      </c>
      <c r="H171" s="185">
        <f t="shared" si="141"/>
        <v>49703.64</v>
      </c>
      <c r="I171" s="185">
        <f t="shared" si="144"/>
        <v>8400</v>
      </c>
      <c r="J171" s="198">
        <v>1926</v>
      </c>
      <c r="K171" s="194">
        <f t="shared" si="145"/>
        <v>154800</v>
      </c>
      <c r="L171" s="185">
        <v>93</v>
      </c>
      <c r="M171" s="185">
        <f t="shared" si="146"/>
        <v>8187.6439000000018</v>
      </c>
      <c r="N171" s="185">
        <f t="shared" ref="N171:N175" si="148">F171/12</f>
        <v>50428.030000000006</v>
      </c>
      <c r="O171" s="185"/>
    </row>
    <row r="172" spans="1:112" x14ac:dyDescent="0.2">
      <c r="A172" s="195" t="s">
        <v>784</v>
      </c>
      <c r="C172" s="184" t="s">
        <v>40</v>
      </c>
      <c r="D172" s="184">
        <v>2</v>
      </c>
      <c r="E172" s="185">
        <f t="shared" ref="E172" si="149">SUM(F172:P172)</f>
        <v>1011804.6731000001</v>
      </c>
      <c r="F172" s="185">
        <f>47129*(B$6+1)*12</f>
        <v>605136.3600000001</v>
      </c>
      <c r="G172" s="185">
        <f t="shared" ref="G172" si="150">F172*0.22</f>
        <v>133129.99920000002</v>
      </c>
      <c r="H172" s="185">
        <f t="shared" si="141"/>
        <v>49703.64</v>
      </c>
      <c r="I172" s="185">
        <f t="shared" si="144"/>
        <v>8400</v>
      </c>
      <c r="J172" s="198">
        <v>1926</v>
      </c>
      <c r="K172" s="194">
        <f t="shared" si="145"/>
        <v>154800</v>
      </c>
      <c r="L172" s="185">
        <v>93</v>
      </c>
      <c r="M172" s="185">
        <f t="shared" si="146"/>
        <v>8187.6439000000018</v>
      </c>
      <c r="N172" s="185">
        <f t="shared" si="148"/>
        <v>50428.030000000006</v>
      </c>
      <c r="O172" s="185"/>
    </row>
    <row r="173" spans="1:112" s="203" customFormat="1" x14ac:dyDescent="0.2">
      <c r="A173" s="200" t="s">
        <v>785</v>
      </c>
      <c r="B173" s="200"/>
      <c r="C173" s="200" t="s">
        <v>34</v>
      </c>
      <c r="D173" s="200">
        <v>2</v>
      </c>
      <c r="E173" s="201"/>
      <c r="F173" s="201"/>
      <c r="G173" s="201"/>
      <c r="H173" s="201"/>
      <c r="I173" s="201"/>
      <c r="J173" s="202"/>
      <c r="K173" s="201"/>
      <c r="L173" s="201"/>
      <c r="M173" s="201"/>
      <c r="N173" s="201"/>
      <c r="O173" s="201"/>
      <c r="P173" s="201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  <c r="AZ173" s="200"/>
      <c r="BA173" s="200"/>
      <c r="BB173" s="200"/>
      <c r="BC173" s="200"/>
      <c r="BD173" s="200"/>
      <c r="BE173" s="200"/>
      <c r="BF173" s="200"/>
      <c r="BG173" s="200"/>
      <c r="BH173" s="200"/>
      <c r="BI173" s="200"/>
      <c r="BJ173" s="200"/>
      <c r="BK173" s="200"/>
      <c r="BL173" s="200"/>
      <c r="BM173" s="200"/>
      <c r="BN173" s="200"/>
      <c r="BO173" s="200"/>
      <c r="BP173" s="200"/>
      <c r="BQ173" s="200"/>
      <c r="BR173" s="200"/>
      <c r="BS173" s="200"/>
      <c r="BT173" s="200"/>
      <c r="BU173" s="200"/>
      <c r="BV173" s="200"/>
      <c r="BW173" s="200"/>
      <c r="BX173" s="200"/>
      <c r="BY173" s="200"/>
      <c r="BZ173" s="200"/>
      <c r="CA173" s="200"/>
      <c r="CB173" s="200"/>
      <c r="CC173" s="200"/>
      <c r="CD173" s="200"/>
      <c r="CE173" s="200"/>
      <c r="CF173" s="200"/>
      <c r="CG173" s="200"/>
      <c r="CH173" s="200"/>
      <c r="CI173" s="200"/>
      <c r="CJ173" s="200"/>
      <c r="CK173" s="200"/>
      <c r="CL173" s="200"/>
      <c r="CM173" s="200"/>
      <c r="CN173" s="200"/>
      <c r="CO173" s="200"/>
      <c r="CP173" s="200"/>
      <c r="CQ173" s="200"/>
      <c r="CR173" s="200"/>
      <c r="CS173" s="200"/>
      <c r="CT173" s="200"/>
      <c r="CU173" s="200"/>
      <c r="CV173" s="200"/>
      <c r="CW173" s="200"/>
      <c r="CX173" s="200"/>
      <c r="CY173" s="200"/>
      <c r="CZ173" s="200"/>
      <c r="DA173" s="200"/>
      <c r="DB173" s="200"/>
      <c r="DC173" s="200"/>
      <c r="DD173" s="200"/>
      <c r="DE173" s="200"/>
      <c r="DF173" s="200"/>
      <c r="DG173" s="200"/>
      <c r="DH173" s="200"/>
    </row>
    <row r="174" spans="1:112" x14ac:dyDescent="0.2">
      <c r="A174" s="195" t="s">
        <v>432</v>
      </c>
      <c r="C174" s="184" t="s">
        <v>354</v>
      </c>
      <c r="D174" s="184" t="s">
        <v>355</v>
      </c>
      <c r="E174" s="185">
        <f t="shared" si="142"/>
        <v>804736.29370000015</v>
      </c>
      <c r="F174" s="185">
        <f>36883*(B$6+1)*12</f>
        <v>473577.72000000009</v>
      </c>
      <c r="G174" s="185">
        <f>F174*0.22</f>
        <v>104187.09840000002</v>
      </c>
      <c r="H174" s="185">
        <f t="shared" si="141"/>
        <v>49703.64</v>
      </c>
      <c r="I174" s="185">
        <f t="shared" si="144"/>
        <v>8400</v>
      </c>
      <c r="J174" s="198">
        <v>1926</v>
      </c>
      <c r="K174" s="185">
        <f>10080*12</f>
        <v>120960</v>
      </c>
      <c r="L174" s="185">
        <v>93</v>
      </c>
      <c r="M174" s="185">
        <f t="shared" si="146"/>
        <v>6424.0253000000002</v>
      </c>
      <c r="N174" s="185">
        <f t="shared" si="148"/>
        <v>39464.810000000005</v>
      </c>
      <c r="O174" s="185"/>
    </row>
    <row r="175" spans="1:112" x14ac:dyDescent="0.2">
      <c r="A175" s="195" t="s">
        <v>786</v>
      </c>
      <c r="C175" s="184" t="s">
        <v>453</v>
      </c>
      <c r="D175" s="195">
        <v>5</v>
      </c>
      <c r="E175" s="185">
        <f t="shared" si="142"/>
        <v>718949.3861</v>
      </c>
      <c r="F175" s="185">
        <f>31799*(B$6+1)*12</f>
        <v>408299.16000000003</v>
      </c>
      <c r="G175" s="185">
        <f>F175*0.22</f>
        <v>89825.815200000012</v>
      </c>
      <c r="H175" s="185">
        <f t="shared" si="141"/>
        <v>49703.64</v>
      </c>
      <c r="I175" s="185">
        <f t="shared" si="144"/>
        <v>8400</v>
      </c>
      <c r="J175" s="198">
        <v>1926</v>
      </c>
      <c r="K175" s="185">
        <f>10080*12</f>
        <v>120960</v>
      </c>
      <c r="L175" s="185">
        <v>93</v>
      </c>
      <c r="M175" s="185">
        <f t="shared" si="146"/>
        <v>5716.8409000000011</v>
      </c>
      <c r="N175" s="185">
        <f t="shared" si="148"/>
        <v>34024.93</v>
      </c>
      <c r="O175" s="185"/>
    </row>
    <row r="176" spans="1:112" x14ac:dyDescent="0.2">
      <c r="A176" s="195" t="s">
        <v>433</v>
      </c>
      <c r="C176" s="195" t="s">
        <v>493</v>
      </c>
      <c r="D176" s="195">
        <v>5</v>
      </c>
      <c r="E176" s="185">
        <f t="shared" ref="E176:E181" si="151">SUM(F176:P176)</f>
        <v>693014.20180000004</v>
      </c>
      <c r="F176" s="185">
        <f>30262*(B$6+1)*12</f>
        <v>388564.08</v>
      </c>
      <c r="G176" s="185">
        <f>F176*0.22</f>
        <v>85484.097600000008</v>
      </c>
      <c r="H176" s="185">
        <f t="shared" si="141"/>
        <v>49703.64</v>
      </c>
      <c r="I176" s="185">
        <f t="shared" si="144"/>
        <v>8400</v>
      </c>
      <c r="J176" s="198">
        <v>1926</v>
      </c>
      <c r="K176" s="185">
        <f>10080*12</f>
        <v>120960</v>
      </c>
      <c r="L176" s="185">
        <v>93</v>
      </c>
      <c r="M176" s="185">
        <f t="shared" ref="M176" si="152">(N176+I176+K176+F176)*0.01</f>
        <v>5503.0442000000003</v>
      </c>
      <c r="N176" s="185">
        <f t="shared" ref="N176" si="153">F176/12</f>
        <v>32380.34</v>
      </c>
      <c r="O176" s="185"/>
    </row>
    <row r="177" spans="1:112" s="203" customFormat="1" x14ac:dyDescent="0.2">
      <c r="A177" s="200" t="s">
        <v>787</v>
      </c>
      <c r="B177" s="200"/>
      <c r="C177" s="200" t="s">
        <v>34</v>
      </c>
      <c r="D177" s="200">
        <v>5</v>
      </c>
      <c r="E177" s="201">
        <f t="shared" ref="E177" si="154">SUM(F177:P177)</f>
        <v>0</v>
      </c>
      <c r="F177" s="201"/>
      <c r="G177" s="201"/>
      <c r="H177" s="201"/>
      <c r="I177" s="201"/>
      <c r="J177" s="202"/>
      <c r="K177" s="201"/>
      <c r="L177" s="201"/>
      <c r="M177" s="201"/>
      <c r="N177" s="201"/>
      <c r="O177" s="201"/>
      <c r="P177" s="201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200"/>
      <c r="AT177" s="200"/>
      <c r="AU177" s="200"/>
      <c r="AV177" s="200"/>
      <c r="AW177" s="200"/>
      <c r="AX177" s="200"/>
      <c r="AY177" s="200"/>
      <c r="AZ177" s="200"/>
      <c r="BA177" s="200"/>
      <c r="BB177" s="200"/>
      <c r="BC177" s="200"/>
      <c r="BD177" s="200"/>
      <c r="BE177" s="200"/>
      <c r="BF177" s="200"/>
      <c r="BG177" s="200"/>
      <c r="BH177" s="200"/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0"/>
      <c r="BS177" s="200"/>
      <c r="BT177" s="200"/>
      <c r="BU177" s="200"/>
      <c r="BV177" s="200"/>
      <c r="BW177" s="200"/>
      <c r="BX177" s="200"/>
      <c r="BY177" s="200"/>
      <c r="BZ177" s="200"/>
      <c r="CA177" s="200"/>
      <c r="CB177" s="200"/>
      <c r="CC177" s="200"/>
      <c r="CD177" s="200"/>
      <c r="CE177" s="200"/>
      <c r="CF177" s="200"/>
      <c r="CG177" s="200"/>
      <c r="CH177" s="200"/>
      <c r="CI177" s="200"/>
      <c r="CJ177" s="200"/>
      <c r="CK177" s="200"/>
      <c r="CL177" s="200"/>
      <c r="CM177" s="200"/>
      <c r="CN177" s="200"/>
      <c r="CO177" s="200"/>
      <c r="CP177" s="200"/>
      <c r="CQ177" s="200"/>
      <c r="CR177" s="200"/>
      <c r="CS177" s="200"/>
      <c r="CT177" s="200"/>
      <c r="CU177" s="200"/>
      <c r="CV177" s="200"/>
      <c r="CW177" s="200"/>
      <c r="CX177" s="200"/>
      <c r="CY177" s="200"/>
      <c r="CZ177" s="200"/>
      <c r="DA177" s="200"/>
      <c r="DB177" s="200"/>
      <c r="DC177" s="200"/>
      <c r="DD177" s="200"/>
      <c r="DE177" s="200"/>
      <c r="DF177" s="200"/>
      <c r="DG177" s="200"/>
      <c r="DH177" s="200"/>
    </row>
    <row r="178" spans="1:112" s="203" customFormat="1" x14ac:dyDescent="0.2">
      <c r="A178" s="200" t="s">
        <v>787</v>
      </c>
      <c r="B178" s="200"/>
      <c r="C178" s="200" t="s">
        <v>34</v>
      </c>
      <c r="D178" s="200">
        <v>5</v>
      </c>
      <c r="E178" s="201"/>
      <c r="F178" s="201"/>
      <c r="G178" s="201"/>
      <c r="H178" s="201"/>
      <c r="I178" s="201"/>
      <c r="J178" s="202"/>
      <c r="K178" s="201"/>
      <c r="L178" s="201"/>
      <c r="M178" s="201"/>
      <c r="N178" s="201"/>
      <c r="O178" s="201"/>
      <c r="P178" s="201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200"/>
      <c r="BC178" s="200"/>
      <c r="BD178" s="200"/>
      <c r="BE178" s="200"/>
      <c r="BF178" s="200"/>
      <c r="BG178" s="200"/>
      <c r="BH178" s="200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200"/>
      <c r="CD178" s="200"/>
      <c r="CE178" s="200"/>
      <c r="CF178" s="200"/>
      <c r="CG178" s="200"/>
      <c r="CH178" s="200"/>
      <c r="CI178" s="200"/>
      <c r="CJ178" s="200"/>
      <c r="CK178" s="200"/>
      <c r="CL178" s="200"/>
      <c r="CM178" s="200"/>
      <c r="CN178" s="200"/>
      <c r="CO178" s="200"/>
      <c r="CP178" s="200"/>
      <c r="CQ178" s="200"/>
      <c r="CR178" s="200"/>
      <c r="CS178" s="200"/>
      <c r="CT178" s="200"/>
      <c r="CU178" s="200"/>
      <c r="CV178" s="200"/>
      <c r="CW178" s="200"/>
      <c r="CX178" s="200"/>
      <c r="CY178" s="200"/>
      <c r="CZ178" s="200"/>
      <c r="DA178" s="200"/>
      <c r="DB178" s="200"/>
      <c r="DC178" s="200"/>
      <c r="DD178" s="200"/>
      <c r="DE178" s="200"/>
      <c r="DF178" s="200"/>
      <c r="DG178" s="200"/>
      <c r="DH178" s="200"/>
    </row>
    <row r="179" spans="1:112" s="203" customFormat="1" x14ac:dyDescent="0.2">
      <c r="A179" s="200" t="s">
        <v>789</v>
      </c>
      <c r="B179" s="200"/>
      <c r="C179" s="200" t="s">
        <v>34</v>
      </c>
      <c r="D179" s="200">
        <v>5</v>
      </c>
      <c r="E179" s="201"/>
      <c r="F179" s="201"/>
      <c r="G179" s="201"/>
      <c r="H179" s="201"/>
      <c r="I179" s="201"/>
      <c r="J179" s="202"/>
      <c r="K179" s="201"/>
      <c r="L179" s="201"/>
      <c r="M179" s="201"/>
      <c r="N179" s="201"/>
      <c r="O179" s="201"/>
      <c r="P179" s="201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0"/>
      <c r="AT179" s="200"/>
      <c r="AU179" s="200"/>
      <c r="AV179" s="200"/>
      <c r="AW179" s="200"/>
      <c r="AX179" s="200"/>
      <c r="AY179" s="200"/>
      <c r="AZ179" s="200"/>
      <c r="BA179" s="200"/>
      <c r="BB179" s="200"/>
      <c r="BC179" s="200"/>
      <c r="BD179" s="200"/>
      <c r="BE179" s="200"/>
      <c r="BF179" s="200"/>
      <c r="BG179" s="200"/>
      <c r="BH179" s="200"/>
      <c r="BI179" s="200"/>
      <c r="BJ179" s="200"/>
      <c r="BK179" s="200"/>
      <c r="BL179" s="200"/>
      <c r="BM179" s="200"/>
      <c r="BN179" s="200"/>
      <c r="BO179" s="200"/>
      <c r="BP179" s="200"/>
      <c r="BQ179" s="200"/>
      <c r="BR179" s="200"/>
      <c r="BS179" s="200"/>
      <c r="BT179" s="200"/>
      <c r="BU179" s="200"/>
      <c r="BV179" s="200"/>
      <c r="BW179" s="200"/>
      <c r="BX179" s="200"/>
      <c r="BY179" s="200"/>
      <c r="BZ179" s="200"/>
      <c r="CA179" s="200"/>
      <c r="CB179" s="200"/>
      <c r="CC179" s="200"/>
      <c r="CD179" s="200"/>
      <c r="CE179" s="200"/>
      <c r="CF179" s="200"/>
      <c r="CG179" s="200"/>
      <c r="CH179" s="200"/>
      <c r="CI179" s="200"/>
      <c r="CJ179" s="200"/>
      <c r="CK179" s="200"/>
      <c r="CL179" s="200"/>
      <c r="CM179" s="200"/>
      <c r="CN179" s="200"/>
      <c r="CO179" s="200"/>
      <c r="CP179" s="200"/>
      <c r="CQ179" s="200"/>
      <c r="CR179" s="200"/>
      <c r="CS179" s="200"/>
      <c r="CT179" s="200"/>
      <c r="CU179" s="200"/>
      <c r="CV179" s="200"/>
      <c r="CW179" s="200"/>
      <c r="CX179" s="200"/>
      <c r="CY179" s="200"/>
      <c r="CZ179" s="200"/>
      <c r="DA179" s="200"/>
      <c r="DB179" s="200"/>
      <c r="DC179" s="200"/>
      <c r="DD179" s="200"/>
      <c r="DE179" s="200"/>
      <c r="DF179" s="200"/>
      <c r="DG179" s="200"/>
      <c r="DH179" s="200"/>
    </row>
    <row r="180" spans="1:112" s="203" customFormat="1" x14ac:dyDescent="0.2">
      <c r="A180" s="200" t="s">
        <v>788</v>
      </c>
      <c r="B180" s="200"/>
      <c r="C180" s="200" t="s">
        <v>34</v>
      </c>
      <c r="D180" s="200">
        <v>6</v>
      </c>
      <c r="E180" s="201"/>
      <c r="F180" s="201"/>
      <c r="G180" s="201"/>
      <c r="H180" s="201"/>
      <c r="I180" s="201"/>
      <c r="J180" s="202"/>
      <c r="K180" s="201"/>
      <c r="L180" s="201"/>
      <c r="M180" s="201"/>
      <c r="N180" s="201"/>
      <c r="O180" s="201"/>
      <c r="P180" s="201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0"/>
      <c r="AT180" s="200"/>
      <c r="AU180" s="200"/>
      <c r="AV180" s="200"/>
      <c r="AW180" s="200"/>
      <c r="AX180" s="200"/>
      <c r="AY180" s="200"/>
      <c r="AZ180" s="200"/>
      <c r="BA180" s="200"/>
      <c r="BB180" s="200"/>
      <c r="BC180" s="200"/>
      <c r="BD180" s="200"/>
      <c r="BE180" s="200"/>
      <c r="BF180" s="200"/>
      <c r="BG180" s="200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200"/>
      <c r="BV180" s="200"/>
      <c r="BW180" s="200"/>
      <c r="BX180" s="200"/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200"/>
      <c r="CJ180" s="200"/>
      <c r="CK180" s="200"/>
      <c r="CL180" s="200"/>
      <c r="CM180" s="200"/>
      <c r="CN180" s="200"/>
      <c r="CO180" s="200"/>
      <c r="CP180" s="200"/>
      <c r="CQ180" s="200"/>
      <c r="CR180" s="200"/>
      <c r="CS180" s="200"/>
      <c r="CT180" s="200"/>
      <c r="CU180" s="200"/>
      <c r="CV180" s="200"/>
      <c r="CW180" s="200"/>
      <c r="CX180" s="200"/>
      <c r="CY180" s="200"/>
      <c r="CZ180" s="200"/>
      <c r="DA180" s="200"/>
      <c r="DB180" s="200"/>
      <c r="DC180" s="200"/>
      <c r="DD180" s="200"/>
      <c r="DE180" s="200"/>
      <c r="DF180" s="200"/>
      <c r="DG180" s="200"/>
      <c r="DH180" s="200"/>
    </row>
    <row r="181" spans="1:112" s="203" customFormat="1" x14ac:dyDescent="0.2">
      <c r="A181" s="195" t="s">
        <v>491</v>
      </c>
      <c r="B181" s="200"/>
      <c r="C181" s="195" t="s">
        <v>492</v>
      </c>
      <c r="D181" s="200"/>
      <c r="E181" s="185">
        <f t="shared" si="151"/>
        <v>126538.20000000001</v>
      </c>
      <c r="F181" s="185">
        <f>9855*(B$6+1)*12</f>
        <v>126538.20000000001</v>
      </c>
      <c r="G181" s="201"/>
      <c r="H181" s="201"/>
      <c r="I181" s="201"/>
      <c r="J181" s="202"/>
      <c r="K181" s="201"/>
      <c r="L181" s="201"/>
      <c r="M181" s="201"/>
      <c r="N181" s="201"/>
      <c r="O181" s="201"/>
      <c r="P181" s="201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0"/>
      <c r="AT181" s="200"/>
      <c r="AU181" s="200"/>
      <c r="AV181" s="200"/>
      <c r="AW181" s="200"/>
      <c r="AX181" s="200"/>
      <c r="AY181" s="200"/>
      <c r="AZ181" s="200"/>
      <c r="BA181" s="200"/>
      <c r="BB181" s="200"/>
      <c r="BC181" s="200"/>
      <c r="BD181" s="200"/>
      <c r="BE181" s="200"/>
      <c r="BF181" s="200"/>
      <c r="BG181" s="200"/>
      <c r="BH181" s="200"/>
      <c r="BI181" s="200"/>
      <c r="BJ181" s="200"/>
      <c r="BK181" s="200"/>
      <c r="BL181" s="200"/>
      <c r="BM181" s="200"/>
      <c r="BN181" s="200"/>
      <c r="BO181" s="200"/>
      <c r="BP181" s="200"/>
      <c r="BQ181" s="200"/>
      <c r="BR181" s="200"/>
      <c r="BS181" s="200"/>
      <c r="BT181" s="200"/>
      <c r="BU181" s="200"/>
      <c r="BV181" s="200"/>
      <c r="BW181" s="200"/>
      <c r="BX181" s="200"/>
      <c r="BY181" s="200"/>
      <c r="BZ181" s="200"/>
      <c r="CA181" s="200"/>
      <c r="CB181" s="200"/>
      <c r="CC181" s="200"/>
      <c r="CD181" s="200"/>
      <c r="CE181" s="200"/>
      <c r="CF181" s="200"/>
      <c r="CG181" s="200"/>
      <c r="CH181" s="200"/>
      <c r="CI181" s="200"/>
      <c r="CJ181" s="200"/>
      <c r="CK181" s="200"/>
      <c r="CL181" s="200"/>
      <c r="CM181" s="200"/>
      <c r="CN181" s="200"/>
      <c r="CO181" s="200"/>
      <c r="CP181" s="200"/>
      <c r="CQ181" s="200"/>
      <c r="CR181" s="200"/>
      <c r="CS181" s="200"/>
      <c r="CT181" s="200"/>
      <c r="CU181" s="200"/>
      <c r="CV181" s="200"/>
      <c r="CW181" s="200"/>
      <c r="CX181" s="200"/>
      <c r="CY181" s="200"/>
      <c r="CZ181" s="200"/>
      <c r="DA181" s="200"/>
      <c r="DB181" s="200"/>
      <c r="DC181" s="200"/>
      <c r="DD181" s="200"/>
      <c r="DE181" s="200"/>
      <c r="DF181" s="200"/>
      <c r="DG181" s="200"/>
      <c r="DH181" s="200"/>
    </row>
    <row r="182" spans="1:112" x14ac:dyDescent="0.2">
      <c r="A182" s="195" t="s">
        <v>329</v>
      </c>
      <c r="E182" s="185">
        <f t="shared" si="142"/>
        <v>0</v>
      </c>
      <c r="F182" s="185"/>
      <c r="G182" s="185"/>
      <c r="H182" s="185"/>
      <c r="I182" s="185"/>
      <c r="J182" s="198"/>
      <c r="K182" s="185"/>
      <c r="L182" s="185"/>
      <c r="M182" s="185"/>
      <c r="N182" s="185"/>
      <c r="O182" s="185"/>
    </row>
    <row r="183" spans="1:112" x14ac:dyDescent="0.2">
      <c r="A183" s="195" t="s">
        <v>157</v>
      </c>
      <c r="E183" s="185">
        <f t="shared" si="142"/>
        <v>80000</v>
      </c>
      <c r="F183" s="185"/>
      <c r="G183" s="185"/>
      <c r="H183" s="185"/>
      <c r="I183" s="185"/>
      <c r="J183" s="198"/>
      <c r="K183" s="185"/>
      <c r="L183" s="185"/>
      <c r="M183" s="185"/>
      <c r="N183" s="185"/>
      <c r="O183" s="185">
        <v>80000</v>
      </c>
    </row>
    <row r="184" spans="1:112" x14ac:dyDescent="0.2">
      <c r="A184" s="195" t="s">
        <v>164</v>
      </c>
      <c r="C184" s="184" t="s">
        <v>164</v>
      </c>
      <c r="E184" s="185">
        <f t="shared" si="142"/>
        <v>55000</v>
      </c>
      <c r="F184" s="185"/>
      <c r="G184" s="185"/>
      <c r="H184" s="185"/>
      <c r="I184" s="185"/>
      <c r="J184" s="198"/>
      <c r="K184" s="185"/>
      <c r="L184" s="185"/>
      <c r="M184" s="185"/>
      <c r="N184" s="185"/>
      <c r="O184" s="185"/>
      <c r="P184" s="185">
        <v>55000</v>
      </c>
    </row>
    <row r="185" spans="1:112" ht="13.5" thickBot="1" x14ac:dyDescent="0.25">
      <c r="E185" s="205">
        <f t="shared" ref="E185:N185" si="155">SUM(E168:E184)</f>
        <v>6528061.8217000002</v>
      </c>
      <c r="F185" s="205">
        <f t="shared" si="155"/>
        <v>3838440.9600000009</v>
      </c>
      <c r="G185" s="205">
        <f t="shared" si="155"/>
        <v>723873.98880000017</v>
      </c>
      <c r="H185" s="205">
        <f t="shared" si="155"/>
        <v>347925.48000000004</v>
      </c>
      <c r="I185" s="205">
        <f t="shared" si="155"/>
        <v>50400</v>
      </c>
      <c r="J185" s="205">
        <f t="shared" si="155"/>
        <v>13482</v>
      </c>
      <c r="K185" s="205">
        <f t="shared" si="155"/>
        <v>1031280</v>
      </c>
      <c r="L185" s="205">
        <f t="shared" si="155"/>
        <v>651</v>
      </c>
      <c r="M185" s="205">
        <f t="shared" si="155"/>
        <v>42206.842100000009</v>
      </c>
      <c r="N185" s="205">
        <f t="shared" si="155"/>
        <v>344801.55080000003</v>
      </c>
      <c r="O185" s="205">
        <f>SUM(O168:O184)</f>
        <v>80000</v>
      </c>
      <c r="P185" s="205">
        <f>SUM(P168:P184)</f>
        <v>55000</v>
      </c>
    </row>
    <row r="186" spans="1:112" ht="13.5" thickTop="1" x14ac:dyDescent="0.2">
      <c r="C186" s="184" t="s">
        <v>199</v>
      </c>
      <c r="D186" s="228" t="s">
        <v>442</v>
      </c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</row>
    <row r="187" spans="1:112" x14ac:dyDescent="0.2">
      <c r="D187" s="228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</row>
    <row r="188" spans="1:112" x14ac:dyDescent="0.2">
      <c r="D188" s="228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</row>
    <row r="189" spans="1:112" x14ac:dyDescent="0.2">
      <c r="A189" s="192" t="s">
        <v>325</v>
      </c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</row>
    <row r="190" spans="1:112" x14ac:dyDescent="0.2">
      <c r="A190" s="192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</row>
    <row r="191" spans="1:112" x14ac:dyDescent="0.2">
      <c r="C191" s="184" t="s">
        <v>176</v>
      </c>
      <c r="D191" s="193" t="s">
        <v>177</v>
      </c>
      <c r="E191" s="193" t="s">
        <v>178</v>
      </c>
      <c r="F191" s="193" t="s">
        <v>179</v>
      </c>
      <c r="G191" s="193" t="s">
        <v>180</v>
      </c>
      <c r="H191" s="193" t="s">
        <v>181</v>
      </c>
      <c r="I191" s="193" t="s">
        <v>182</v>
      </c>
      <c r="J191" s="193" t="s">
        <v>183</v>
      </c>
      <c r="K191" s="193" t="s">
        <v>184</v>
      </c>
      <c r="L191" s="193" t="s">
        <v>185</v>
      </c>
      <c r="M191" s="193" t="s">
        <v>186</v>
      </c>
      <c r="N191" s="193" t="s">
        <v>187</v>
      </c>
      <c r="O191" s="193" t="s">
        <v>372</v>
      </c>
      <c r="P191" s="185" t="s">
        <v>164</v>
      </c>
    </row>
    <row r="192" spans="1:112" x14ac:dyDescent="0.2">
      <c r="D192" s="193" t="s">
        <v>188</v>
      </c>
      <c r="E192" s="193" t="s">
        <v>189</v>
      </c>
      <c r="F192" s="193"/>
      <c r="G192" s="193" t="s">
        <v>190</v>
      </c>
      <c r="H192" s="193" t="s">
        <v>190</v>
      </c>
      <c r="I192" s="193" t="s">
        <v>191</v>
      </c>
      <c r="J192" s="193"/>
      <c r="K192" s="193" t="s">
        <v>192</v>
      </c>
      <c r="L192" s="193" t="s">
        <v>193</v>
      </c>
      <c r="M192" s="193" t="s">
        <v>194</v>
      </c>
      <c r="N192" s="193" t="s">
        <v>195</v>
      </c>
      <c r="O192" s="193" t="s">
        <v>192</v>
      </c>
    </row>
    <row r="193" spans="1:112" s="226" customFormat="1" x14ac:dyDescent="0.2">
      <c r="A193" s="210" t="s">
        <v>746</v>
      </c>
      <c r="B193" s="184"/>
      <c r="C193" s="195" t="s">
        <v>395</v>
      </c>
      <c r="D193" s="184">
        <v>0</v>
      </c>
      <c r="E193" s="185">
        <f>SUM(F193:P193)</f>
        <v>1323810.5352</v>
      </c>
      <c r="F193" s="185">
        <f>58077*(B$6+1)*12</f>
        <v>745708.68</v>
      </c>
      <c r="G193" s="185">
        <f>84000+(84000*9.5%)</f>
        <v>91980</v>
      </c>
      <c r="H193" s="185">
        <f t="shared" ref="H193:H219" si="156">3871*(B$7+1)*12</f>
        <v>49703.64</v>
      </c>
      <c r="I193" s="185">
        <f>0*12</f>
        <v>0</v>
      </c>
      <c r="J193" s="198">
        <v>1926</v>
      </c>
      <c r="K193" s="185">
        <f>27500*12</f>
        <v>330000</v>
      </c>
      <c r="L193" s="185">
        <v>93</v>
      </c>
      <c r="M193" s="185">
        <v>0</v>
      </c>
      <c r="N193" s="185">
        <f>F193*0.14</f>
        <v>104399.21520000002</v>
      </c>
      <c r="O193" s="185"/>
      <c r="P193" s="225"/>
    </row>
    <row r="194" spans="1:112" s="204" customFormat="1" x14ac:dyDescent="0.2">
      <c r="A194" s="195" t="s">
        <v>399</v>
      </c>
      <c r="B194" s="184"/>
      <c r="C194" s="195" t="s">
        <v>289</v>
      </c>
      <c r="D194" s="184">
        <v>8</v>
      </c>
      <c r="E194" s="185">
        <f t="shared" ref="E194" si="157">SUM(F194:P194)</f>
        <v>424598.51050000009</v>
      </c>
      <c r="F194" s="185">
        <f>21595*(B$6+1)*12</f>
        <v>277279.80000000005</v>
      </c>
      <c r="G194" s="185">
        <f t="shared" ref="G194" si="158">F194*0.22</f>
        <v>61001.556000000011</v>
      </c>
      <c r="H194" s="185">
        <f t="shared" ref="H194" si="159">3871*(B$7+1)*12</f>
        <v>49703.64</v>
      </c>
      <c r="I194" s="185">
        <f t="shared" ref="I194" si="160">700*12</f>
        <v>8400</v>
      </c>
      <c r="J194" s="198">
        <v>1926</v>
      </c>
      <c r="K194" s="185">
        <f>0*12</f>
        <v>0</v>
      </c>
      <c r="L194" s="185">
        <v>93</v>
      </c>
      <c r="M194" s="185">
        <f t="shared" ref="M194" si="161">(N194+I194+K194+F194)*0.01</f>
        <v>3087.8645000000006</v>
      </c>
      <c r="N194" s="185">
        <f t="shared" ref="N194" si="162">F194/12</f>
        <v>23106.650000000005</v>
      </c>
      <c r="O194" s="185"/>
      <c r="P194" s="185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184"/>
      <c r="BD194" s="184"/>
      <c r="BE194" s="184"/>
      <c r="BF194" s="184"/>
      <c r="BG194" s="184"/>
      <c r="BH194" s="184"/>
      <c r="BI194" s="184"/>
      <c r="BJ194" s="184"/>
      <c r="BK194" s="184"/>
      <c r="BL194" s="184"/>
      <c r="BM194" s="184"/>
      <c r="BN194" s="184"/>
      <c r="BO194" s="184"/>
      <c r="BP194" s="184"/>
      <c r="BQ194" s="184"/>
      <c r="BR194" s="184"/>
      <c r="BS194" s="184"/>
      <c r="BT194" s="184"/>
      <c r="BU194" s="184"/>
      <c r="BV194" s="184"/>
      <c r="BW194" s="184"/>
      <c r="BX194" s="184"/>
      <c r="BY194" s="184"/>
      <c r="BZ194" s="184"/>
      <c r="CA194" s="184"/>
      <c r="CB194" s="184"/>
      <c r="CC194" s="184"/>
      <c r="CD194" s="184"/>
      <c r="CE194" s="184"/>
      <c r="CF194" s="184"/>
      <c r="CG194" s="184"/>
      <c r="CH194" s="184"/>
      <c r="CI194" s="184"/>
      <c r="CJ194" s="184"/>
      <c r="CK194" s="184"/>
      <c r="CL194" s="184"/>
      <c r="CM194" s="184"/>
      <c r="CN194" s="184"/>
      <c r="CO194" s="184"/>
      <c r="CP194" s="184"/>
      <c r="CQ194" s="184"/>
      <c r="CR194" s="184"/>
      <c r="CS194" s="184"/>
      <c r="CT194" s="184"/>
      <c r="CU194" s="184"/>
      <c r="CV194" s="184"/>
      <c r="CW194" s="184"/>
      <c r="CX194" s="184"/>
      <c r="CY194" s="184"/>
      <c r="CZ194" s="184"/>
      <c r="DA194" s="184"/>
      <c r="DB194" s="184"/>
      <c r="DC194" s="184"/>
      <c r="DD194" s="184"/>
      <c r="DE194" s="184"/>
      <c r="DF194" s="184"/>
      <c r="DG194" s="184"/>
      <c r="DH194" s="184"/>
    </row>
    <row r="195" spans="1:112" x14ac:dyDescent="0.2">
      <c r="A195" s="195" t="s">
        <v>460</v>
      </c>
      <c r="C195" s="195" t="s">
        <v>547</v>
      </c>
      <c r="D195" s="184">
        <v>2</v>
      </c>
      <c r="E195" s="185">
        <f>SUM(F195:P195)</f>
        <v>1011804.6731000001</v>
      </c>
      <c r="F195" s="185">
        <f>47129*(B$6+1)*12</f>
        <v>605136.3600000001</v>
      </c>
      <c r="G195" s="185">
        <f>F195*0.22</f>
        <v>133129.99920000002</v>
      </c>
      <c r="H195" s="185">
        <f t="shared" si="156"/>
        <v>49703.64</v>
      </c>
      <c r="I195" s="185">
        <f t="shared" ref="I195:I220" si="163">700*12</f>
        <v>8400</v>
      </c>
      <c r="J195" s="198">
        <v>1926</v>
      </c>
      <c r="K195" s="194">
        <f t="shared" ref="K195" si="164">12900*12</f>
        <v>154800</v>
      </c>
      <c r="L195" s="185">
        <v>93</v>
      </c>
      <c r="M195" s="185">
        <f>(N195+I195+K195+F195)*0.01</f>
        <v>8187.6439000000018</v>
      </c>
      <c r="N195" s="185">
        <f>F195/12</f>
        <v>50428.030000000006</v>
      </c>
      <c r="O195" s="185"/>
    </row>
    <row r="196" spans="1:112" s="230" customFormat="1" x14ac:dyDescent="0.2">
      <c r="A196" s="211" t="s">
        <v>745</v>
      </c>
      <c r="B196" s="200"/>
      <c r="C196" s="200" t="s">
        <v>34</v>
      </c>
      <c r="D196" s="200" t="s">
        <v>551</v>
      </c>
      <c r="E196" s="201">
        <f t="shared" ref="E196" si="165">SUM(F196:P196)</f>
        <v>0</v>
      </c>
      <c r="F196" s="201"/>
      <c r="G196" s="201">
        <f t="shared" ref="G196" si="166">F196*0.22</f>
        <v>0</v>
      </c>
      <c r="H196" s="201"/>
      <c r="I196" s="201"/>
      <c r="J196" s="202"/>
      <c r="K196" s="201"/>
      <c r="L196" s="201"/>
      <c r="M196" s="201">
        <f t="shared" ref="M196" si="167">(N196+I196+K196+F196)*0.01</f>
        <v>0</v>
      </c>
      <c r="N196" s="201">
        <f t="shared" ref="N196" si="168">F196/12</f>
        <v>0</v>
      </c>
      <c r="O196" s="201"/>
      <c r="P196" s="229"/>
    </row>
    <row r="197" spans="1:112" s="230" customFormat="1" x14ac:dyDescent="0.2">
      <c r="A197" s="211" t="s">
        <v>744</v>
      </c>
      <c r="B197" s="200"/>
      <c r="C197" s="200" t="s">
        <v>34</v>
      </c>
      <c r="D197" s="200" t="s">
        <v>551</v>
      </c>
      <c r="E197" s="201">
        <f t="shared" ref="E197" si="169">SUM(F197:P197)</f>
        <v>0</v>
      </c>
      <c r="F197" s="201"/>
      <c r="G197" s="201">
        <f t="shared" ref="G197" si="170">F197*0.22</f>
        <v>0</v>
      </c>
      <c r="H197" s="201"/>
      <c r="I197" s="201"/>
      <c r="J197" s="202"/>
      <c r="K197" s="201"/>
      <c r="L197" s="201"/>
      <c r="M197" s="201">
        <f t="shared" ref="M197" si="171">(N197+I197+K197+F197)*0.01</f>
        <v>0</v>
      </c>
      <c r="N197" s="201">
        <f t="shared" ref="N197" si="172">F197/12</f>
        <v>0</v>
      </c>
      <c r="O197" s="201"/>
      <c r="P197" s="229"/>
    </row>
    <row r="198" spans="1:112" s="230" customFormat="1" x14ac:dyDescent="0.2">
      <c r="A198" s="211" t="s">
        <v>553</v>
      </c>
      <c r="B198" s="200"/>
      <c r="C198" s="200" t="s">
        <v>34</v>
      </c>
      <c r="D198" s="200" t="s">
        <v>551</v>
      </c>
      <c r="E198" s="201">
        <f t="shared" ref="E198" si="173">SUM(F198:P198)</f>
        <v>0</v>
      </c>
      <c r="F198" s="201"/>
      <c r="G198" s="201"/>
      <c r="H198" s="201"/>
      <c r="I198" s="201"/>
      <c r="J198" s="202"/>
      <c r="K198" s="201"/>
      <c r="L198" s="201"/>
      <c r="M198" s="201"/>
      <c r="N198" s="201"/>
      <c r="O198" s="201"/>
      <c r="P198" s="229"/>
    </row>
    <row r="200" spans="1:112" s="230" customFormat="1" x14ac:dyDescent="0.2">
      <c r="A200" s="200" t="s">
        <v>461</v>
      </c>
      <c r="B200" s="200"/>
      <c r="C200" s="200" t="s">
        <v>34</v>
      </c>
      <c r="D200" s="200">
        <v>5</v>
      </c>
      <c r="E200" s="201">
        <f t="shared" ref="E200" si="174">SUM(F200:P200)</f>
        <v>0</v>
      </c>
      <c r="F200" s="201"/>
      <c r="G200" s="201"/>
      <c r="H200" s="201"/>
      <c r="I200" s="201"/>
      <c r="J200" s="202"/>
      <c r="K200" s="201"/>
      <c r="L200" s="201"/>
      <c r="M200" s="201"/>
      <c r="N200" s="201"/>
      <c r="O200" s="201"/>
      <c r="P200" s="229"/>
    </row>
    <row r="201" spans="1:112" s="230" customFormat="1" x14ac:dyDescent="0.2">
      <c r="A201" s="200" t="s">
        <v>461</v>
      </c>
      <c r="B201" s="200"/>
      <c r="C201" s="200" t="s">
        <v>34</v>
      </c>
      <c r="D201" s="200">
        <v>5</v>
      </c>
      <c r="E201" s="194">
        <f t="shared" ref="E201" si="175">SUM(F201:P201)</f>
        <v>718949.3861</v>
      </c>
      <c r="F201" s="194">
        <f>31799*(B$6+1)*12</f>
        <v>408299.16000000003</v>
      </c>
      <c r="G201" s="194">
        <f t="shared" ref="G201" si="176">F201*0.22</f>
        <v>89825.815200000012</v>
      </c>
      <c r="H201" s="194">
        <f t="shared" ref="H201" si="177">3871*(B$7+1)*12</f>
        <v>49703.64</v>
      </c>
      <c r="I201" s="194">
        <f t="shared" si="163"/>
        <v>8400</v>
      </c>
      <c r="J201" s="209">
        <v>1926</v>
      </c>
      <c r="K201" s="194">
        <f t="shared" ref="K201" si="178">10080*12</f>
        <v>120960</v>
      </c>
      <c r="L201" s="194">
        <v>93</v>
      </c>
      <c r="M201" s="194">
        <f t="shared" ref="M201" si="179">(N201+I201+K201+F201)*0.01</f>
        <v>5716.8409000000011</v>
      </c>
      <c r="N201" s="194">
        <f>F201/12</f>
        <v>34024.93</v>
      </c>
      <c r="O201" s="201"/>
      <c r="P201" s="229"/>
    </row>
    <row r="202" spans="1:112" s="226" customFormat="1" x14ac:dyDescent="0.2">
      <c r="A202" s="195" t="s">
        <v>748</v>
      </c>
      <c r="B202" s="184"/>
      <c r="C202" s="195" t="s">
        <v>65</v>
      </c>
      <c r="D202" s="184">
        <v>5</v>
      </c>
      <c r="E202" s="185">
        <f t="shared" ref="E202:E229" si="180">SUM(F202:P202)</f>
        <v>722206.04879999999</v>
      </c>
      <c r="F202" s="185">
        <f>31992*(B$6+1)*12</f>
        <v>410777.28</v>
      </c>
      <c r="G202" s="185">
        <f t="shared" ref="G202:G226" si="181">F202*0.22</f>
        <v>90371.001600000003</v>
      </c>
      <c r="H202" s="185">
        <f t="shared" si="156"/>
        <v>49703.64</v>
      </c>
      <c r="I202" s="185">
        <f t="shared" si="163"/>
        <v>8400</v>
      </c>
      <c r="J202" s="198">
        <v>1926</v>
      </c>
      <c r="K202" s="185">
        <f>10080*12</f>
        <v>120960</v>
      </c>
      <c r="L202" s="185">
        <v>93</v>
      </c>
      <c r="M202" s="185">
        <f t="shared" ref="M202:M226" si="182">(N202+I202+K202+F202)*0.01</f>
        <v>5743.6871999999994</v>
      </c>
      <c r="N202" s="185">
        <f t="shared" ref="N202:N203" si="183">F202/12</f>
        <v>34231.440000000002</v>
      </c>
      <c r="O202" s="185"/>
      <c r="P202" s="225"/>
    </row>
    <row r="203" spans="1:112" s="226" customFormat="1" x14ac:dyDescent="0.2">
      <c r="A203" s="200" t="s">
        <v>554</v>
      </c>
      <c r="B203" s="184"/>
      <c r="C203" s="200" t="s">
        <v>34</v>
      </c>
      <c r="D203" s="200">
        <v>7</v>
      </c>
      <c r="E203" s="185">
        <f t="shared" ref="E203" si="184">SUM(F203:P203)</f>
        <v>470090.54490000004</v>
      </c>
      <c r="F203" s="185">
        <f>24291*(B$6+1)*12</f>
        <v>311896.44000000006</v>
      </c>
      <c r="G203" s="185">
        <f t="shared" si="181"/>
        <v>68617.216800000009</v>
      </c>
      <c r="H203" s="185">
        <f t="shared" si="156"/>
        <v>49703.64</v>
      </c>
      <c r="I203" s="185">
        <f t="shared" si="163"/>
        <v>8400</v>
      </c>
      <c r="J203" s="198">
        <v>1926</v>
      </c>
      <c r="K203" s="185">
        <f t="shared" ref="K203" si="185">0*12</f>
        <v>0</v>
      </c>
      <c r="L203" s="185">
        <v>93</v>
      </c>
      <c r="M203" s="185">
        <f t="shared" si="182"/>
        <v>3462.8781000000008</v>
      </c>
      <c r="N203" s="185">
        <f t="shared" si="183"/>
        <v>25991.370000000006</v>
      </c>
      <c r="O203" s="185"/>
      <c r="P203" s="225"/>
    </row>
    <row r="204" spans="1:112" x14ac:dyDescent="0.2">
      <c r="A204" s="195" t="s">
        <v>461</v>
      </c>
      <c r="B204" s="215"/>
      <c r="C204" s="195" t="s">
        <v>462</v>
      </c>
      <c r="D204" s="184">
        <v>5</v>
      </c>
      <c r="E204" s="185">
        <f t="shared" si="180"/>
        <v>718949.3861</v>
      </c>
      <c r="F204" s="185">
        <f>31799*(B$6+1)*12</f>
        <v>408299.16000000003</v>
      </c>
      <c r="G204" s="185">
        <f t="shared" si="181"/>
        <v>89825.815200000012</v>
      </c>
      <c r="H204" s="185">
        <f t="shared" si="156"/>
        <v>49703.64</v>
      </c>
      <c r="I204" s="185">
        <f t="shared" si="163"/>
        <v>8400</v>
      </c>
      <c r="J204" s="198">
        <v>1926</v>
      </c>
      <c r="K204" s="185">
        <f t="shared" ref="K204:K214" si="186">10080*12</f>
        <v>120960</v>
      </c>
      <c r="L204" s="185">
        <v>93</v>
      </c>
      <c r="M204" s="185">
        <f t="shared" si="182"/>
        <v>5716.8409000000011</v>
      </c>
      <c r="N204" s="185">
        <f t="shared" ref="N204:N226" si="187">F204/12</f>
        <v>34024.93</v>
      </c>
      <c r="O204" s="185"/>
    </row>
    <row r="205" spans="1:112" x14ac:dyDescent="0.2">
      <c r="A205" s="195" t="s">
        <v>461</v>
      </c>
      <c r="B205" s="215"/>
      <c r="C205" s="195" t="s">
        <v>463</v>
      </c>
      <c r="D205" s="184">
        <v>5</v>
      </c>
      <c r="E205" s="185">
        <f t="shared" si="180"/>
        <v>718949.3861</v>
      </c>
      <c r="F205" s="185">
        <f>31799*(B$6+1)*12</f>
        <v>408299.16000000003</v>
      </c>
      <c r="G205" s="185">
        <f t="shared" si="181"/>
        <v>89825.815200000012</v>
      </c>
      <c r="H205" s="185">
        <f t="shared" si="156"/>
        <v>49703.64</v>
      </c>
      <c r="I205" s="185">
        <f t="shared" si="163"/>
        <v>8400</v>
      </c>
      <c r="J205" s="198">
        <v>1926</v>
      </c>
      <c r="K205" s="185">
        <f t="shared" si="186"/>
        <v>120960</v>
      </c>
      <c r="L205" s="185">
        <v>93</v>
      </c>
      <c r="M205" s="185">
        <f t="shared" si="182"/>
        <v>5716.8409000000011</v>
      </c>
      <c r="N205" s="185">
        <f t="shared" si="187"/>
        <v>34024.93</v>
      </c>
      <c r="O205" s="185"/>
    </row>
    <row r="206" spans="1:112" x14ac:dyDescent="0.2">
      <c r="A206" s="195" t="s">
        <v>747</v>
      </c>
      <c r="B206" s="215"/>
      <c r="C206" s="195" t="s">
        <v>79</v>
      </c>
      <c r="D206" s="184">
        <v>5</v>
      </c>
      <c r="E206" s="185">
        <f t="shared" si="180"/>
        <v>722206.04879999999</v>
      </c>
      <c r="F206" s="185">
        <f>31992*(B$6+1)*12</f>
        <v>410777.28</v>
      </c>
      <c r="G206" s="185">
        <f t="shared" si="181"/>
        <v>90371.001600000003</v>
      </c>
      <c r="H206" s="185">
        <f t="shared" si="156"/>
        <v>49703.64</v>
      </c>
      <c r="I206" s="185">
        <f t="shared" si="163"/>
        <v>8400</v>
      </c>
      <c r="J206" s="198">
        <v>1926</v>
      </c>
      <c r="K206" s="185">
        <f t="shared" si="186"/>
        <v>120960</v>
      </c>
      <c r="L206" s="185">
        <v>93</v>
      </c>
      <c r="M206" s="185">
        <f t="shared" si="182"/>
        <v>5743.6871999999994</v>
      </c>
      <c r="N206" s="185">
        <f t="shared" si="187"/>
        <v>34231.440000000002</v>
      </c>
      <c r="O206" s="185"/>
    </row>
    <row r="207" spans="1:112" x14ac:dyDescent="0.2">
      <c r="A207" s="195" t="s">
        <v>461</v>
      </c>
      <c r="B207" s="215"/>
      <c r="C207" s="195" t="s">
        <v>464</v>
      </c>
      <c r="D207" s="184">
        <v>5</v>
      </c>
      <c r="E207" s="185">
        <f t="shared" si="180"/>
        <v>718949.3861</v>
      </c>
      <c r="F207" s="185">
        <f>31799*(B$6+1)*12</f>
        <v>408299.16000000003</v>
      </c>
      <c r="G207" s="185">
        <f t="shared" si="181"/>
        <v>89825.815200000012</v>
      </c>
      <c r="H207" s="185">
        <f t="shared" si="156"/>
        <v>49703.64</v>
      </c>
      <c r="I207" s="185">
        <f t="shared" si="163"/>
        <v>8400</v>
      </c>
      <c r="J207" s="198">
        <v>1926</v>
      </c>
      <c r="K207" s="185">
        <f t="shared" si="186"/>
        <v>120960</v>
      </c>
      <c r="L207" s="185">
        <v>93</v>
      </c>
      <c r="M207" s="185">
        <f t="shared" si="182"/>
        <v>5716.8409000000011</v>
      </c>
      <c r="N207" s="185">
        <f>F207/12</f>
        <v>34024.93</v>
      </c>
      <c r="O207" s="185"/>
    </row>
    <row r="208" spans="1:112" x14ac:dyDescent="0.2">
      <c r="A208" s="231" t="s">
        <v>461</v>
      </c>
      <c r="B208" s="232"/>
      <c r="C208" s="231" t="s">
        <v>34</v>
      </c>
      <c r="D208" s="231">
        <v>5</v>
      </c>
      <c r="E208" s="233">
        <f t="shared" ref="E208" si="188">SUM(F208:P208)</f>
        <v>718949.3861</v>
      </c>
      <c r="F208" s="233">
        <f>31799*(B$6+1)*12</f>
        <v>408299.16000000003</v>
      </c>
      <c r="G208" s="233">
        <f t="shared" ref="G208" si="189">F208*0.22</f>
        <v>89825.815200000012</v>
      </c>
      <c r="H208" s="233">
        <f t="shared" ref="H208" si="190">3871*(B$7+1)*12</f>
        <v>49703.64</v>
      </c>
      <c r="I208" s="233">
        <f t="shared" si="163"/>
        <v>8400</v>
      </c>
      <c r="J208" s="234">
        <v>1926</v>
      </c>
      <c r="K208" s="233">
        <f t="shared" si="186"/>
        <v>120960</v>
      </c>
      <c r="L208" s="233">
        <v>93</v>
      </c>
      <c r="M208" s="233">
        <f t="shared" ref="M208" si="191">(N208+I208+K208+F208)*0.01</f>
        <v>5716.8409000000011</v>
      </c>
      <c r="N208" s="233">
        <f>F208/12</f>
        <v>34024.93</v>
      </c>
      <c r="O208" s="185"/>
    </row>
    <row r="209" spans="1:15" x14ac:dyDescent="0.2">
      <c r="A209" s="231" t="s">
        <v>461</v>
      </c>
      <c r="B209" s="232"/>
      <c r="C209" s="231" t="s">
        <v>34</v>
      </c>
      <c r="D209" s="231">
        <v>5</v>
      </c>
      <c r="E209" s="233">
        <f t="shared" ref="E209:E213" si="192">SUM(F209:P209)</f>
        <v>718949.3861</v>
      </c>
      <c r="F209" s="233">
        <f t="shared" ref="F209:F213" si="193">31799*(B$6+1)*12</f>
        <v>408299.16000000003</v>
      </c>
      <c r="G209" s="233">
        <f t="shared" ref="G209:G213" si="194">F209*0.22</f>
        <v>89825.815200000012</v>
      </c>
      <c r="H209" s="233">
        <f t="shared" ref="H209:H213" si="195">3871*(B$7+1)*12</f>
        <v>49703.64</v>
      </c>
      <c r="I209" s="233">
        <f t="shared" si="163"/>
        <v>8400</v>
      </c>
      <c r="J209" s="234">
        <v>1926</v>
      </c>
      <c r="K209" s="233">
        <f t="shared" si="186"/>
        <v>120960</v>
      </c>
      <c r="L209" s="233">
        <v>93</v>
      </c>
      <c r="M209" s="233">
        <f t="shared" ref="M209:M213" si="196">(N209+I209+K209+F209)*0.01</f>
        <v>5716.8409000000011</v>
      </c>
      <c r="N209" s="233">
        <f t="shared" ref="N209:N213" si="197">F209/12</f>
        <v>34024.93</v>
      </c>
      <c r="O209" s="185"/>
    </row>
    <row r="210" spans="1:15" x14ac:dyDescent="0.2">
      <c r="A210" s="231" t="s">
        <v>461</v>
      </c>
      <c r="B210" s="232"/>
      <c r="C210" s="231" t="s">
        <v>34</v>
      </c>
      <c r="D210" s="231">
        <v>5</v>
      </c>
      <c r="E210" s="233">
        <f t="shared" si="192"/>
        <v>718949.3861</v>
      </c>
      <c r="F210" s="233">
        <f t="shared" si="193"/>
        <v>408299.16000000003</v>
      </c>
      <c r="G210" s="233">
        <f t="shared" si="194"/>
        <v>89825.815200000012</v>
      </c>
      <c r="H210" s="233">
        <f t="shared" si="195"/>
        <v>49703.64</v>
      </c>
      <c r="I210" s="233">
        <f t="shared" si="163"/>
        <v>8400</v>
      </c>
      <c r="J210" s="234">
        <v>1926</v>
      </c>
      <c r="K210" s="233">
        <f t="shared" si="186"/>
        <v>120960</v>
      </c>
      <c r="L210" s="233">
        <v>93</v>
      </c>
      <c r="M210" s="233">
        <f t="shared" si="196"/>
        <v>5716.8409000000011</v>
      </c>
      <c r="N210" s="233">
        <f t="shared" si="197"/>
        <v>34024.93</v>
      </c>
      <c r="O210" s="185"/>
    </row>
    <row r="211" spans="1:15" x14ac:dyDescent="0.2">
      <c r="A211" s="231" t="s">
        <v>461</v>
      </c>
      <c r="B211" s="232"/>
      <c r="C211" s="231" t="s">
        <v>34</v>
      </c>
      <c r="D211" s="231">
        <v>5</v>
      </c>
      <c r="E211" s="233">
        <f t="shared" si="192"/>
        <v>718949.3861</v>
      </c>
      <c r="F211" s="233">
        <f t="shared" si="193"/>
        <v>408299.16000000003</v>
      </c>
      <c r="G211" s="233">
        <f t="shared" si="194"/>
        <v>89825.815200000012</v>
      </c>
      <c r="H211" s="233">
        <f t="shared" si="195"/>
        <v>49703.64</v>
      </c>
      <c r="I211" s="233">
        <f t="shared" si="163"/>
        <v>8400</v>
      </c>
      <c r="J211" s="234">
        <v>1926</v>
      </c>
      <c r="K211" s="233">
        <f t="shared" si="186"/>
        <v>120960</v>
      </c>
      <c r="L211" s="233">
        <v>93</v>
      </c>
      <c r="M211" s="233">
        <f t="shared" si="196"/>
        <v>5716.8409000000011</v>
      </c>
      <c r="N211" s="233">
        <f t="shared" si="197"/>
        <v>34024.93</v>
      </c>
      <c r="O211" s="185"/>
    </row>
    <row r="212" spans="1:15" x14ac:dyDescent="0.2">
      <c r="A212" s="231" t="s">
        <v>461</v>
      </c>
      <c r="B212" s="232"/>
      <c r="C212" s="231" t="s">
        <v>34</v>
      </c>
      <c r="D212" s="231">
        <v>5</v>
      </c>
      <c r="E212" s="233">
        <f t="shared" si="192"/>
        <v>718949.3861</v>
      </c>
      <c r="F212" s="233">
        <f t="shared" si="193"/>
        <v>408299.16000000003</v>
      </c>
      <c r="G212" s="233">
        <f t="shared" si="194"/>
        <v>89825.815200000012</v>
      </c>
      <c r="H212" s="233">
        <f t="shared" si="195"/>
        <v>49703.64</v>
      </c>
      <c r="I212" s="233">
        <f t="shared" si="163"/>
        <v>8400</v>
      </c>
      <c r="J212" s="234">
        <v>1926</v>
      </c>
      <c r="K212" s="233">
        <f t="shared" si="186"/>
        <v>120960</v>
      </c>
      <c r="L212" s="233">
        <v>93</v>
      </c>
      <c r="M212" s="233">
        <f t="shared" si="196"/>
        <v>5716.8409000000011</v>
      </c>
      <c r="N212" s="233">
        <f t="shared" si="197"/>
        <v>34024.93</v>
      </c>
      <c r="O212" s="185"/>
    </row>
    <row r="213" spans="1:15" x14ac:dyDescent="0.2">
      <c r="A213" s="231" t="s">
        <v>461</v>
      </c>
      <c r="B213" s="232"/>
      <c r="C213" s="231" t="s">
        <v>34</v>
      </c>
      <c r="D213" s="231">
        <v>5</v>
      </c>
      <c r="E213" s="233">
        <f t="shared" si="192"/>
        <v>718949.3861</v>
      </c>
      <c r="F213" s="233">
        <f t="shared" si="193"/>
        <v>408299.16000000003</v>
      </c>
      <c r="G213" s="233">
        <f t="shared" si="194"/>
        <v>89825.815200000012</v>
      </c>
      <c r="H213" s="233">
        <f t="shared" si="195"/>
        <v>49703.64</v>
      </c>
      <c r="I213" s="233">
        <f t="shared" si="163"/>
        <v>8400</v>
      </c>
      <c r="J213" s="234">
        <v>1926</v>
      </c>
      <c r="K213" s="233">
        <f t="shared" si="186"/>
        <v>120960</v>
      </c>
      <c r="L213" s="233">
        <v>93</v>
      </c>
      <c r="M213" s="233">
        <f t="shared" si="196"/>
        <v>5716.8409000000011</v>
      </c>
      <c r="N213" s="233">
        <f t="shared" si="197"/>
        <v>34024.93</v>
      </c>
      <c r="O213" s="185"/>
    </row>
    <row r="214" spans="1:15" x14ac:dyDescent="0.2">
      <c r="A214" s="195" t="s">
        <v>511</v>
      </c>
      <c r="B214" s="215"/>
      <c r="C214" s="195" t="s">
        <v>80</v>
      </c>
      <c r="D214" s="184">
        <v>6</v>
      </c>
      <c r="E214" s="185">
        <f t="shared" si="180"/>
        <v>656499.08219999995</v>
      </c>
      <c r="F214" s="185">
        <f t="shared" ref="F214:F219" si="198">28098*(B$6+1)*12</f>
        <v>360778.32</v>
      </c>
      <c r="G214" s="185">
        <f t="shared" si="181"/>
        <v>79371.2304</v>
      </c>
      <c r="H214" s="185">
        <f t="shared" si="156"/>
        <v>49703.64</v>
      </c>
      <c r="I214" s="185">
        <f t="shared" si="163"/>
        <v>8400</v>
      </c>
      <c r="J214" s="198">
        <v>1926</v>
      </c>
      <c r="K214" s="185">
        <f t="shared" si="186"/>
        <v>120960</v>
      </c>
      <c r="L214" s="185">
        <v>93</v>
      </c>
      <c r="M214" s="185">
        <f t="shared" si="182"/>
        <v>5202.0317999999997</v>
      </c>
      <c r="N214" s="185">
        <f t="shared" si="187"/>
        <v>30064.86</v>
      </c>
      <c r="O214" s="185"/>
    </row>
    <row r="215" spans="1:15" x14ac:dyDescent="0.2">
      <c r="A215" s="195" t="s">
        <v>512</v>
      </c>
      <c r="B215" s="215"/>
      <c r="C215" s="195" t="s">
        <v>496</v>
      </c>
      <c r="D215" s="184">
        <v>6</v>
      </c>
      <c r="E215" s="185">
        <f t="shared" si="180"/>
        <v>656499.08219999995</v>
      </c>
      <c r="F215" s="185">
        <f t="shared" si="198"/>
        <v>360778.32</v>
      </c>
      <c r="G215" s="185">
        <f t="shared" si="181"/>
        <v>79371.2304</v>
      </c>
      <c r="H215" s="185">
        <f t="shared" si="156"/>
        <v>49703.64</v>
      </c>
      <c r="I215" s="185">
        <f t="shared" si="163"/>
        <v>8400</v>
      </c>
      <c r="J215" s="198">
        <v>1926</v>
      </c>
      <c r="K215" s="185">
        <f t="shared" ref="K215:K220" si="199">10080*12</f>
        <v>120960</v>
      </c>
      <c r="L215" s="185">
        <v>93</v>
      </c>
      <c r="M215" s="185">
        <f t="shared" si="182"/>
        <v>5202.0317999999997</v>
      </c>
      <c r="N215" s="185">
        <f t="shared" si="187"/>
        <v>30064.86</v>
      </c>
      <c r="O215" s="185"/>
    </row>
    <row r="216" spans="1:15" x14ac:dyDescent="0.2">
      <c r="A216" s="195" t="s">
        <v>513</v>
      </c>
      <c r="B216" s="215"/>
      <c r="C216" s="195" t="s">
        <v>81</v>
      </c>
      <c r="D216" s="184">
        <v>6</v>
      </c>
      <c r="E216" s="185">
        <f t="shared" si="180"/>
        <v>656499.08219999995</v>
      </c>
      <c r="F216" s="185">
        <f t="shared" si="198"/>
        <v>360778.32</v>
      </c>
      <c r="G216" s="185">
        <f t="shared" si="181"/>
        <v>79371.2304</v>
      </c>
      <c r="H216" s="185">
        <f t="shared" si="156"/>
        <v>49703.64</v>
      </c>
      <c r="I216" s="185">
        <f t="shared" si="163"/>
        <v>8400</v>
      </c>
      <c r="J216" s="198">
        <v>1926</v>
      </c>
      <c r="K216" s="185">
        <f t="shared" si="199"/>
        <v>120960</v>
      </c>
      <c r="L216" s="185">
        <v>93</v>
      </c>
      <c r="M216" s="185">
        <f t="shared" si="182"/>
        <v>5202.0317999999997</v>
      </c>
      <c r="N216" s="185">
        <f t="shared" si="187"/>
        <v>30064.86</v>
      </c>
      <c r="O216" s="185"/>
    </row>
    <row r="217" spans="1:15" x14ac:dyDescent="0.2">
      <c r="A217" s="195" t="s">
        <v>514</v>
      </c>
      <c r="B217" s="215"/>
      <c r="C217" s="195" t="s">
        <v>495</v>
      </c>
      <c r="D217" s="184">
        <v>6</v>
      </c>
      <c r="E217" s="185">
        <f t="shared" si="180"/>
        <v>656499.08219999995</v>
      </c>
      <c r="F217" s="185">
        <f t="shared" si="198"/>
        <v>360778.32</v>
      </c>
      <c r="G217" s="185">
        <f t="shared" si="181"/>
        <v>79371.2304</v>
      </c>
      <c r="H217" s="185">
        <f t="shared" si="156"/>
        <v>49703.64</v>
      </c>
      <c r="I217" s="185">
        <f t="shared" si="163"/>
        <v>8400</v>
      </c>
      <c r="J217" s="198">
        <v>1926</v>
      </c>
      <c r="K217" s="185">
        <f t="shared" si="199"/>
        <v>120960</v>
      </c>
      <c r="L217" s="185">
        <v>93</v>
      </c>
      <c r="M217" s="185">
        <f t="shared" si="182"/>
        <v>5202.0317999999997</v>
      </c>
      <c r="N217" s="185">
        <f t="shared" si="187"/>
        <v>30064.86</v>
      </c>
      <c r="O217" s="185"/>
    </row>
    <row r="218" spans="1:15" x14ac:dyDescent="0.2">
      <c r="A218" s="195" t="s">
        <v>515</v>
      </c>
      <c r="B218" s="215"/>
      <c r="C218" s="195" t="s">
        <v>264</v>
      </c>
      <c r="D218" s="184">
        <v>6</v>
      </c>
      <c r="E218" s="185">
        <f t="shared" si="180"/>
        <v>656499.08219999995</v>
      </c>
      <c r="F218" s="185">
        <f t="shared" si="198"/>
        <v>360778.32</v>
      </c>
      <c r="G218" s="185">
        <f t="shared" si="181"/>
        <v>79371.2304</v>
      </c>
      <c r="H218" s="185">
        <f t="shared" si="156"/>
        <v>49703.64</v>
      </c>
      <c r="I218" s="185">
        <f t="shared" si="163"/>
        <v>8400</v>
      </c>
      <c r="J218" s="198">
        <v>1926</v>
      </c>
      <c r="K218" s="185">
        <f t="shared" si="199"/>
        <v>120960</v>
      </c>
      <c r="L218" s="185">
        <v>93</v>
      </c>
      <c r="M218" s="185">
        <f t="shared" si="182"/>
        <v>5202.0317999999997</v>
      </c>
      <c r="N218" s="185">
        <f t="shared" si="187"/>
        <v>30064.86</v>
      </c>
      <c r="O218" s="185"/>
    </row>
    <row r="219" spans="1:15" x14ac:dyDescent="0.2">
      <c r="A219" s="195" t="s">
        <v>516</v>
      </c>
      <c r="B219" s="215"/>
      <c r="C219" s="195" t="s">
        <v>494</v>
      </c>
      <c r="D219" s="184">
        <v>6</v>
      </c>
      <c r="E219" s="185">
        <f t="shared" si="180"/>
        <v>656499.08219999995</v>
      </c>
      <c r="F219" s="185">
        <f t="shared" si="198"/>
        <v>360778.32</v>
      </c>
      <c r="G219" s="185">
        <f t="shared" si="181"/>
        <v>79371.2304</v>
      </c>
      <c r="H219" s="185">
        <f t="shared" si="156"/>
        <v>49703.64</v>
      </c>
      <c r="I219" s="185">
        <f t="shared" si="163"/>
        <v>8400</v>
      </c>
      <c r="J219" s="198">
        <v>1926</v>
      </c>
      <c r="K219" s="185">
        <f t="shared" si="199"/>
        <v>120960</v>
      </c>
      <c r="L219" s="185">
        <v>93</v>
      </c>
      <c r="M219" s="185">
        <f t="shared" si="182"/>
        <v>5202.0317999999997</v>
      </c>
      <c r="N219" s="185">
        <f t="shared" si="187"/>
        <v>30064.86</v>
      </c>
      <c r="O219" s="185"/>
    </row>
    <row r="220" spans="1:15" x14ac:dyDescent="0.2">
      <c r="A220" s="200" t="s">
        <v>752</v>
      </c>
      <c r="B220" s="200"/>
      <c r="C220" s="200" t="s">
        <v>34</v>
      </c>
      <c r="D220" s="200">
        <v>6</v>
      </c>
      <c r="E220" s="185">
        <f t="shared" ref="E220:E221" si="200">SUM(F220:P220)</f>
        <v>656499.08219999995</v>
      </c>
      <c r="F220" s="185">
        <f t="shared" ref="F220" si="201">28098*(B$6+1)*12</f>
        <v>360778.32</v>
      </c>
      <c r="G220" s="185">
        <f t="shared" ref="G220:G221" si="202">F220*0.22</f>
        <v>79371.2304</v>
      </c>
      <c r="H220" s="185">
        <f t="shared" ref="H220" si="203">3871*(B$7+1)*12</f>
        <v>49703.64</v>
      </c>
      <c r="I220" s="185">
        <f t="shared" si="163"/>
        <v>8400</v>
      </c>
      <c r="J220" s="198">
        <v>1926</v>
      </c>
      <c r="K220" s="185">
        <f t="shared" si="199"/>
        <v>120960</v>
      </c>
      <c r="L220" s="185">
        <v>93</v>
      </c>
      <c r="M220" s="185">
        <f t="shared" ref="M220:M221" si="204">(N220+I220+K220+F220)*0.01</f>
        <v>5202.0317999999997</v>
      </c>
      <c r="N220" s="185">
        <f t="shared" ref="N220:N221" si="205">F220/12</f>
        <v>30064.86</v>
      </c>
      <c r="O220" s="185"/>
    </row>
    <row r="221" spans="1:15" x14ac:dyDescent="0.2">
      <c r="A221" s="200" t="s">
        <v>752</v>
      </c>
      <c r="B221" s="200"/>
      <c r="C221" s="200" t="s">
        <v>34</v>
      </c>
      <c r="D221" s="200">
        <v>6</v>
      </c>
      <c r="E221" s="185">
        <f t="shared" si="200"/>
        <v>0</v>
      </c>
      <c r="F221" s="185"/>
      <c r="G221" s="185">
        <f t="shared" si="202"/>
        <v>0</v>
      </c>
      <c r="H221" s="185"/>
      <c r="I221" s="185"/>
      <c r="J221" s="198"/>
      <c r="K221" s="185"/>
      <c r="L221" s="185"/>
      <c r="M221" s="185">
        <f t="shared" si="204"/>
        <v>0</v>
      </c>
      <c r="N221" s="185">
        <f t="shared" si="205"/>
        <v>0</v>
      </c>
      <c r="O221" s="185"/>
    </row>
    <row r="222" spans="1:15" x14ac:dyDescent="0.2">
      <c r="A222" s="195" t="s">
        <v>481</v>
      </c>
      <c r="B222" s="215"/>
      <c r="C222" s="195" t="s">
        <v>545</v>
      </c>
      <c r="E222" s="185">
        <f t="shared" si="180"/>
        <v>118256.40000000001</v>
      </c>
      <c r="F222" s="185">
        <f>9210*(B$6+1)*12</f>
        <v>118256.40000000001</v>
      </c>
      <c r="G222" s="185"/>
      <c r="H222" s="185"/>
      <c r="I222" s="185"/>
      <c r="J222" s="198"/>
      <c r="K222" s="185"/>
      <c r="L222" s="185"/>
      <c r="M222" s="185"/>
      <c r="N222" s="185"/>
      <c r="O222" s="185"/>
    </row>
    <row r="223" spans="1:15" x14ac:dyDescent="0.2">
      <c r="A223" s="195" t="s">
        <v>481</v>
      </c>
      <c r="B223" s="215"/>
      <c r="C223" s="195" t="s">
        <v>546</v>
      </c>
      <c r="E223" s="185">
        <f t="shared" si="180"/>
        <v>118256.40000000001</v>
      </c>
      <c r="F223" s="185">
        <f>9210*(B$6+1)*12</f>
        <v>118256.40000000001</v>
      </c>
      <c r="G223" s="185"/>
      <c r="H223" s="185"/>
      <c r="I223" s="185"/>
      <c r="J223" s="198"/>
      <c r="K223" s="185"/>
      <c r="L223" s="185"/>
      <c r="M223" s="185"/>
      <c r="N223" s="185"/>
      <c r="O223" s="185"/>
    </row>
    <row r="224" spans="1:15" x14ac:dyDescent="0.2">
      <c r="A224" s="195" t="s">
        <v>520</v>
      </c>
      <c r="B224" s="215"/>
      <c r="C224" s="195" t="s">
        <v>34</v>
      </c>
      <c r="E224" s="185">
        <f t="shared" si="180"/>
        <v>118256.40000000001</v>
      </c>
      <c r="F224" s="185">
        <f>9210*(B$6+1)*12</f>
        <v>118256.40000000001</v>
      </c>
      <c r="G224" s="185"/>
      <c r="H224" s="185"/>
      <c r="I224" s="185"/>
      <c r="J224" s="198"/>
      <c r="K224" s="185"/>
      <c r="L224" s="185"/>
      <c r="M224" s="185"/>
      <c r="N224" s="185"/>
      <c r="O224" s="185"/>
    </row>
    <row r="225" spans="1:16" x14ac:dyDescent="0.2">
      <c r="A225" s="195" t="s">
        <v>520</v>
      </c>
      <c r="B225" s="215"/>
      <c r="C225" s="195" t="s">
        <v>34</v>
      </c>
      <c r="E225" s="185">
        <f t="shared" si="180"/>
        <v>118256.40000000001</v>
      </c>
      <c r="F225" s="185">
        <f>9210*(B$6+1)*12</f>
        <v>118256.40000000001</v>
      </c>
      <c r="G225" s="185"/>
      <c r="H225" s="185"/>
      <c r="I225" s="185"/>
      <c r="J225" s="198"/>
      <c r="K225" s="185"/>
      <c r="L225" s="185"/>
      <c r="M225" s="185"/>
      <c r="N225" s="185"/>
      <c r="O225" s="185"/>
    </row>
    <row r="226" spans="1:16" x14ac:dyDescent="0.2">
      <c r="A226" s="195" t="s">
        <v>303</v>
      </c>
      <c r="B226" s="215"/>
      <c r="C226" s="195" t="s">
        <v>416</v>
      </c>
      <c r="D226" s="184">
        <v>8</v>
      </c>
      <c r="E226" s="185">
        <f t="shared" si="180"/>
        <v>424598.51050000009</v>
      </c>
      <c r="F226" s="185">
        <f>21595*(B$6+1)*12</f>
        <v>277279.80000000005</v>
      </c>
      <c r="G226" s="185">
        <f t="shared" si="181"/>
        <v>61001.556000000011</v>
      </c>
      <c r="H226" s="185">
        <f t="shared" ref="H226" si="206">3871*(B$7+1)*12</f>
        <v>49703.64</v>
      </c>
      <c r="I226" s="185">
        <f t="shared" ref="I226" si="207">700*12</f>
        <v>8400</v>
      </c>
      <c r="J226" s="198">
        <v>1926</v>
      </c>
      <c r="K226" s="185">
        <v>0</v>
      </c>
      <c r="L226" s="185">
        <v>93</v>
      </c>
      <c r="M226" s="185">
        <f t="shared" si="182"/>
        <v>3087.8645000000006</v>
      </c>
      <c r="N226" s="185">
        <f t="shared" si="187"/>
        <v>23106.650000000005</v>
      </c>
      <c r="O226" s="185"/>
    </row>
    <row r="227" spans="1:16" x14ac:dyDescent="0.2">
      <c r="A227" s="195" t="s">
        <v>329</v>
      </c>
      <c r="B227" s="215"/>
      <c r="C227" s="195"/>
      <c r="E227" s="185">
        <f t="shared" si="180"/>
        <v>0</v>
      </c>
      <c r="F227" s="185"/>
      <c r="G227" s="185"/>
      <c r="H227" s="185"/>
      <c r="I227" s="185"/>
      <c r="J227" s="198"/>
      <c r="K227" s="185"/>
      <c r="L227" s="185"/>
      <c r="M227" s="185"/>
      <c r="N227" s="185"/>
      <c r="O227" s="185"/>
    </row>
    <row r="228" spans="1:16" x14ac:dyDescent="0.2">
      <c r="A228" s="195" t="s">
        <v>157</v>
      </c>
      <c r="B228" s="215"/>
      <c r="C228" s="195"/>
      <c r="E228" s="185">
        <f t="shared" si="180"/>
        <v>80000</v>
      </c>
      <c r="F228" s="185"/>
      <c r="G228" s="185"/>
      <c r="H228" s="185"/>
      <c r="I228" s="185"/>
      <c r="J228" s="198"/>
      <c r="K228" s="185"/>
      <c r="L228" s="185"/>
      <c r="M228" s="185"/>
      <c r="N228" s="185"/>
      <c r="O228" s="185">
        <v>80000</v>
      </c>
    </row>
    <row r="229" spans="1:16" x14ac:dyDescent="0.2">
      <c r="A229" s="195" t="s">
        <v>164</v>
      </c>
      <c r="B229" s="215"/>
      <c r="C229" s="195" t="s">
        <v>164</v>
      </c>
      <c r="E229" s="185">
        <f t="shared" si="180"/>
        <v>154000</v>
      </c>
      <c r="F229" s="185"/>
      <c r="G229" s="185"/>
      <c r="H229" s="185"/>
      <c r="I229" s="185"/>
      <c r="J229" s="198"/>
      <c r="K229" s="185"/>
      <c r="L229" s="185"/>
      <c r="M229" s="185"/>
      <c r="N229" s="185"/>
      <c r="O229" s="185"/>
      <c r="P229" s="185">
        <v>154000</v>
      </c>
    </row>
    <row r="230" spans="1:16" x14ac:dyDescent="0.2">
      <c r="A230" s="195" t="s">
        <v>469</v>
      </c>
      <c r="B230" s="215"/>
      <c r="C230" s="195"/>
      <c r="E230" s="185">
        <v>10900</v>
      </c>
      <c r="F230" s="185"/>
      <c r="G230" s="185"/>
      <c r="H230" s="185"/>
      <c r="I230" s="185"/>
      <c r="J230" s="198"/>
      <c r="K230" s="185"/>
      <c r="L230" s="185"/>
      <c r="M230" s="185"/>
      <c r="N230" s="185"/>
      <c r="O230" s="185"/>
    </row>
    <row r="231" spans="1:16" ht="13.5" thickBot="1" x14ac:dyDescent="0.25">
      <c r="C231" s="195"/>
      <c r="E231" s="205">
        <f>SUM(E193:E230)</f>
        <v>17602227.908199996</v>
      </c>
      <c r="F231" s="205">
        <f t="shared" ref="F231:P231" si="208">SUM(F193:F229)</f>
        <v>10120321.080000006</v>
      </c>
      <c r="G231" s="205">
        <f t="shared" si="208"/>
        <v>2050329.0960000006</v>
      </c>
      <c r="H231" s="205">
        <f t="shared" si="208"/>
        <v>1192887.3599999999</v>
      </c>
      <c r="I231" s="205">
        <f t="shared" si="208"/>
        <v>193200</v>
      </c>
      <c r="J231" s="205">
        <f t="shared" si="208"/>
        <v>46224</v>
      </c>
      <c r="K231" s="205">
        <f t="shared" si="208"/>
        <v>2783040</v>
      </c>
      <c r="L231" s="205">
        <f t="shared" si="208"/>
        <v>2232</v>
      </c>
      <c r="M231" s="205">
        <f t="shared" si="208"/>
        <v>122896.25699999998</v>
      </c>
      <c r="N231" s="205">
        <f t="shared" si="208"/>
        <v>846198.1152</v>
      </c>
      <c r="O231" s="205">
        <f t="shared" si="208"/>
        <v>80000</v>
      </c>
      <c r="P231" s="205">
        <f t="shared" si="208"/>
        <v>154000</v>
      </c>
    </row>
    <row r="232" spans="1:16" ht="13.5" thickTop="1" x14ac:dyDescent="0.2">
      <c r="C232" s="184" t="s">
        <v>199</v>
      </c>
      <c r="D232" s="184">
        <f>COUNT(D193:D231)</f>
        <v>26</v>
      </c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</row>
    <row r="233" spans="1:16" x14ac:dyDescent="0.2">
      <c r="A233" s="192" t="s">
        <v>18</v>
      </c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</row>
    <row r="234" spans="1:16" x14ac:dyDescent="0.2">
      <c r="C234" s="184" t="s">
        <v>176</v>
      </c>
      <c r="D234" s="193" t="s">
        <v>177</v>
      </c>
      <c r="E234" s="193" t="s">
        <v>178</v>
      </c>
      <c r="F234" s="193" t="s">
        <v>179</v>
      </c>
      <c r="G234" s="193" t="s">
        <v>180</v>
      </c>
      <c r="H234" s="193" t="s">
        <v>181</v>
      </c>
      <c r="I234" s="193" t="s">
        <v>182</v>
      </c>
      <c r="J234" s="193" t="s">
        <v>183</v>
      </c>
      <c r="K234" s="193" t="s">
        <v>184</v>
      </c>
      <c r="L234" s="193" t="s">
        <v>185</v>
      </c>
      <c r="M234" s="193" t="s">
        <v>186</v>
      </c>
      <c r="N234" s="193" t="s">
        <v>187</v>
      </c>
      <c r="O234" s="193" t="s">
        <v>372</v>
      </c>
      <c r="P234" s="185" t="s">
        <v>164</v>
      </c>
    </row>
    <row r="235" spans="1:16" x14ac:dyDescent="0.2">
      <c r="A235" s="195"/>
      <c r="D235" s="193" t="s">
        <v>188</v>
      </c>
      <c r="E235" s="193" t="s">
        <v>189</v>
      </c>
      <c r="F235" s="193"/>
      <c r="G235" s="193" t="s">
        <v>190</v>
      </c>
      <c r="H235" s="193" t="s">
        <v>190</v>
      </c>
      <c r="I235" s="193" t="s">
        <v>191</v>
      </c>
      <c r="J235" s="193"/>
      <c r="K235" s="193" t="s">
        <v>192</v>
      </c>
      <c r="L235" s="193" t="s">
        <v>193</v>
      </c>
      <c r="M235" s="193" t="s">
        <v>194</v>
      </c>
      <c r="N235" s="193" t="s">
        <v>195</v>
      </c>
      <c r="O235" s="193" t="s">
        <v>192</v>
      </c>
    </row>
    <row r="236" spans="1:16" s="226" customFormat="1" x14ac:dyDescent="0.2">
      <c r="A236" s="210" t="s">
        <v>772</v>
      </c>
      <c r="B236" s="213"/>
      <c r="C236" s="184" t="s">
        <v>371</v>
      </c>
      <c r="D236" s="184">
        <v>0</v>
      </c>
      <c r="E236" s="185">
        <f>SUM(F236:P236)</f>
        <v>1555886.3366000003</v>
      </c>
      <c r="F236" s="185">
        <f>72191*(B$6+1)*12</f>
        <v>926932.44000000018</v>
      </c>
      <c r="G236" s="185">
        <f>57159+(571597*9.5%)</f>
        <v>111460.715</v>
      </c>
      <c r="H236" s="185">
        <f t="shared" ref="H236:H283" si="209">3871*(B$7+1)*12</f>
        <v>49703.64</v>
      </c>
      <c r="I236" s="185">
        <f>0*12</f>
        <v>0</v>
      </c>
      <c r="J236" s="198">
        <v>1926</v>
      </c>
      <c r="K236" s="185">
        <f>28000*12</f>
        <v>336000</v>
      </c>
      <c r="L236" s="185">
        <v>93</v>
      </c>
      <c r="M236" s="185">
        <v>0</v>
      </c>
      <c r="N236" s="185">
        <f>F236*0.14</f>
        <v>129770.54160000004</v>
      </c>
      <c r="O236" s="185"/>
      <c r="P236" s="225"/>
    </row>
    <row r="237" spans="1:16" x14ac:dyDescent="0.2">
      <c r="A237" s="195" t="s">
        <v>773</v>
      </c>
      <c r="C237" s="184" t="s">
        <v>44</v>
      </c>
      <c r="D237" s="184">
        <v>8</v>
      </c>
      <c r="E237" s="185">
        <f>SUM(F237:N237)</f>
        <v>424598.51050000009</v>
      </c>
      <c r="F237" s="185">
        <f>21595*(B$6+1)*12</f>
        <v>277279.80000000005</v>
      </c>
      <c r="G237" s="185">
        <f>F237*0.22</f>
        <v>61001.556000000011</v>
      </c>
      <c r="H237" s="185">
        <f t="shared" si="209"/>
        <v>49703.64</v>
      </c>
      <c r="I237" s="185">
        <f t="shared" ref="I237:I283" si="210">700*12</f>
        <v>8400</v>
      </c>
      <c r="J237" s="198">
        <v>1926</v>
      </c>
      <c r="K237" s="185">
        <f>0*12</f>
        <v>0</v>
      </c>
      <c r="L237" s="185">
        <v>93</v>
      </c>
      <c r="M237" s="185">
        <f>(N237+I237+K237+F237)*0.01</f>
        <v>3087.8645000000006</v>
      </c>
      <c r="N237" s="185">
        <f>F237/12</f>
        <v>23106.650000000005</v>
      </c>
      <c r="O237" s="185"/>
    </row>
    <row r="238" spans="1:16" x14ac:dyDescent="0.2">
      <c r="A238" s="195" t="s">
        <v>774</v>
      </c>
      <c r="B238" s="213"/>
      <c r="C238" s="184" t="s">
        <v>69</v>
      </c>
      <c r="D238" s="184">
        <v>2</v>
      </c>
      <c r="E238" s="185">
        <f t="shared" ref="E238:E247" si="211">SUM(F238:P238)</f>
        <v>1011804.6731000001</v>
      </c>
      <c r="F238" s="185">
        <f>47129*(B$6+1)*12</f>
        <v>605136.3600000001</v>
      </c>
      <c r="G238" s="185">
        <f t="shared" ref="G238:G242" si="212">F238*0.22</f>
        <v>133129.99920000002</v>
      </c>
      <c r="H238" s="185">
        <f t="shared" si="209"/>
        <v>49703.64</v>
      </c>
      <c r="I238" s="185">
        <f t="shared" si="210"/>
        <v>8400</v>
      </c>
      <c r="J238" s="198">
        <v>1926</v>
      </c>
      <c r="K238" s="194">
        <f t="shared" ref="K238" si="213">12900*12</f>
        <v>154800</v>
      </c>
      <c r="L238" s="185">
        <v>93</v>
      </c>
      <c r="M238" s="185">
        <f t="shared" ref="M238:M244" si="214">(N238+I238+K238+F238)*0.01</f>
        <v>8187.6439000000018</v>
      </c>
      <c r="N238" s="185">
        <f t="shared" ref="N238:N242" si="215">F238/12</f>
        <v>50428.030000000006</v>
      </c>
      <c r="O238" s="185"/>
    </row>
    <row r="239" spans="1:16" x14ac:dyDescent="0.2">
      <c r="A239" s="195" t="s">
        <v>777</v>
      </c>
      <c r="B239" s="213"/>
      <c r="C239" s="195" t="s">
        <v>317</v>
      </c>
      <c r="D239" s="184" t="s">
        <v>348</v>
      </c>
      <c r="E239" s="185">
        <f t="shared" si="211"/>
        <v>912075.38430000003</v>
      </c>
      <c r="F239" s="185">
        <f>41937*(B$6+1)*12</f>
        <v>538471.08000000007</v>
      </c>
      <c r="G239" s="185">
        <f t="shared" ref="G239" si="216">F239*0.22</f>
        <v>118463.63760000002</v>
      </c>
      <c r="H239" s="185">
        <f t="shared" si="209"/>
        <v>49703.64</v>
      </c>
      <c r="I239" s="185">
        <f t="shared" si="210"/>
        <v>8400</v>
      </c>
      <c r="J239" s="198">
        <v>1926</v>
      </c>
      <c r="K239" s="185">
        <f t="shared" ref="K239:K240" si="217">11900*12</f>
        <v>142800</v>
      </c>
      <c r="L239" s="185">
        <v>93</v>
      </c>
      <c r="M239" s="185">
        <f t="shared" ref="M239" si="218">(N239+I239+K239+F239)*0.01</f>
        <v>7345.4367000000002</v>
      </c>
      <c r="N239" s="185">
        <f>F239/12</f>
        <v>44872.590000000004</v>
      </c>
      <c r="O239" s="185"/>
    </row>
    <row r="240" spans="1:16" x14ac:dyDescent="0.2">
      <c r="A240" s="195" t="s">
        <v>775</v>
      </c>
      <c r="B240" s="213"/>
      <c r="C240" s="184" t="s">
        <v>357</v>
      </c>
      <c r="D240" s="184" t="s">
        <v>348</v>
      </c>
      <c r="E240" s="185">
        <f t="shared" si="211"/>
        <v>912075.38430000003</v>
      </c>
      <c r="F240" s="185">
        <f>41937*(B$6+1)*12</f>
        <v>538471.08000000007</v>
      </c>
      <c r="G240" s="185">
        <f t="shared" si="212"/>
        <v>118463.63760000002</v>
      </c>
      <c r="H240" s="185">
        <f t="shared" si="209"/>
        <v>49703.64</v>
      </c>
      <c r="I240" s="185">
        <f t="shared" si="210"/>
        <v>8400</v>
      </c>
      <c r="J240" s="198">
        <v>1926</v>
      </c>
      <c r="K240" s="185">
        <f t="shared" si="217"/>
        <v>142800</v>
      </c>
      <c r="L240" s="185">
        <v>93</v>
      </c>
      <c r="M240" s="185">
        <f t="shared" si="214"/>
        <v>7345.4367000000002</v>
      </c>
      <c r="N240" s="185">
        <f t="shared" si="215"/>
        <v>44872.590000000004</v>
      </c>
      <c r="O240" s="185"/>
    </row>
    <row r="241" spans="1:112" s="226" customFormat="1" x14ac:dyDescent="0.2">
      <c r="A241" s="195" t="s">
        <v>53</v>
      </c>
      <c r="B241" s="213"/>
      <c r="C241" s="184" t="s">
        <v>369</v>
      </c>
      <c r="D241" s="184">
        <v>8</v>
      </c>
      <c r="E241" s="185">
        <f t="shared" si="211"/>
        <v>531012.11050000007</v>
      </c>
      <c r="F241" s="185">
        <f>21595*(B$6+1)*12</f>
        <v>277279.80000000005</v>
      </c>
      <c r="G241" s="185">
        <f t="shared" si="212"/>
        <v>61001.556000000011</v>
      </c>
      <c r="H241" s="185">
        <f t="shared" si="209"/>
        <v>49703.64</v>
      </c>
      <c r="I241" s="185">
        <f t="shared" si="210"/>
        <v>8400</v>
      </c>
      <c r="J241" s="198">
        <v>1926</v>
      </c>
      <c r="K241" s="185">
        <f>8780*12</f>
        <v>105360</v>
      </c>
      <c r="L241" s="185">
        <v>93</v>
      </c>
      <c r="M241" s="185">
        <f t="shared" si="214"/>
        <v>4141.464500000001</v>
      </c>
      <c r="N241" s="185">
        <f t="shared" si="215"/>
        <v>23106.650000000005</v>
      </c>
      <c r="O241" s="185"/>
      <c r="P241" s="225"/>
    </row>
    <row r="242" spans="1:112" x14ac:dyDescent="0.2">
      <c r="A242" s="195" t="s">
        <v>441</v>
      </c>
      <c r="B242" s="213"/>
      <c r="C242" s="184" t="s">
        <v>358</v>
      </c>
      <c r="D242" s="184">
        <v>7</v>
      </c>
      <c r="E242" s="185">
        <f t="shared" si="211"/>
        <v>592260.14490000007</v>
      </c>
      <c r="F242" s="185">
        <f>24291*(B$6+1)*12</f>
        <v>311896.44000000006</v>
      </c>
      <c r="G242" s="185">
        <f t="shared" si="212"/>
        <v>68617.216800000009</v>
      </c>
      <c r="H242" s="185">
        <f t="shared" si="209"/>
        <v>49703.64</v>
      </c>
      <c r="I242" s="185">
        <f t="shared" si="210"/>
        <v>8400</v>
      </c>
      <c r="J242" s="198">
        <v>1926</v>
      </c>
      <c r="K242" s="185">
        <f>10080*12</f>
        <v>120960</v>
      </c>
      <c r="L242" s="185">
        <v>93</v>
      </c>
      <c r="M242" s="185">
        <f t="shared" si="214"/>
        <v>4672.4781000000003</v>
      </c>
      <c r="N242" s="185">
        <f t="shared" si="215"/>
        <v>25991.370000000006</v>
      </c>
      <c r="O242" s="185"/>
    </row>
    <row r="243" spans="1:112" s="204" customFormat="1" x14ac:dyDescent="0.2">
      <c r="A243" s="184" t="s">
        <v>370</v>
      </c>
      <c r="B243" s="184"/>
      <c r="C243" s="184" t="s">
        <v>363</v>
      </c>
      <c r="D243" s="184">
        <v>6</v>
      </c>
      <c r="E243" s="185">
        <f t="shared" ref="E243" si="219">SUM(F243:P243)</f>
        <v>656499.08219999995</v>
      </c>
      <c r="F243" s="185">
        <f>28098*(B$6+1)*12</f>
        <v>360778.32</v>
      </c>
      <c r="G243" s="185">
        <f>F243*0.22</f>
        <v>79371.2304</v>
      </c>
      <c r="H243" s="185">
        <f t="shared" si="209"/>
        <v>49703.64</v>
      </c>
      <c r="I243" s="185">
        <f t="shared" si="210"/>
        <v>8400</v>
      </c>
      <c r="J243" s="198">
        <v>1926</v>
      </c>
      <c r="K243" s="194">
        <f>10080*12</f>
        <v>120960</v>
      </c>
      <c r="L243" s="185">
        <v>93</v>
      </c>
      <c r="M243" s="185">
        <f>(N243+I243+K243+F243)*0.01</f>
        <v>5202.0317999999997</v>
      </c>
      <c r="N243" s="185">
        <f>F243/12</f>
        <v>30064.86</v>
      </c>
      <c r="O243" s="185"/>
      <c r="P243" s="185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184"/>
      <c r="AX243" s="184"/>
      <c r="AY243" s="184"/>
      <c r="AZ243" s="184"/>
      <c r="BA243" s="184"/>
      <c r="BB243" s="184"/>
      <c r="BC243" s="184"/>
      <c r="BD243" s="184"/>
      <c r="BE243" s="184"/>
      <c r="BF243" s="184"/>
      <c r="BG243" s="184"/>
      <c r="BH243" s="184"/>
      <c r="BI243" s="184"/>
      <c r="BJ243" s="184"/>
      <c r="BK243" s="184"/>
      <c r="BL243" s="184"/>
      <c r="BM243" s="184"/>
      <c r="BN243" s="184"/>
      <c r="BO243" s="184"/>
      <c r="BP243" s="184"/>
      <c r="BQ243" s="184"/>
      <c r="BR243" s="184"/>
      <c r="BS243" s="184"/>
      <c r="BT243" s="184"/>
      <c r="BU243" s="184"/>
      <c r="BV243" s="184"/>
      <c r="BW243" s="184"/>
      <c r="BX243" s="184"/>
      <c r="BY243" s="184"/>
      <c r="BZ243" s="184"/>
      <c r="CA243" s="184"/>
      <c r="CB243" s="184"/>
      <c r="CC243" s="184"/>
      <c r="CD243" s="184"/>
      <c r="CE243" s="184"/>
      <c r="CF243" s="184"/>
      <c r="CG243" s="184"/>
      <c r="CH243" s="184"/>
      <c r="CI243" s="184"/>
      <c r="CJ243" s="184"/>
      <c r="CK243" s="184"/>
      <c r="CL243" s="184"/>
      <c r="CM243" s="184"/>
      <c r="CN243" s="184"/>
      <c r="CO243" s="184"/>
      <c r="CP243" s="184"/>
      <c r="CQ243" s="184"/>
      <c r="CR243" s="184"/>
      <c r="CS243" s="184"/>
      <c r="CT243" s="184"/>
      <c r="CU243" s="184"/>
      <c r="CV243" s="184"/>
      <c r="CW243" s="184"/>
      <c r="CX243" s="184"/>
      <c r="CY243" s="184"/>
      <c r="CZ243" s="184"/>
      <c r="DA243" s="184"/>
      <c r="DB243" s="184"/>
      <c r="DC243" s="184"/>
      <c r="DD243" s="184"/>
      <c r="DE243" s="184"/>
      <c r="DF243" s="184"/>
      <c r="DG243" s="184"/>
      <c r="DH243" s="184"/>
    </row>
    <row r="244" spans="1:112" x14ac:dyDescent="0.2">
      <c r="A244" s="184" t="s">
        <v>54</v>
      </c>
      <c r="B244" s="213"/>
      <c r="C244" s="195" t="s">
        <v>262</v>
      </c>
      <c r="D244" s="184">
        <v>8</v>
      </c>
      <c r="E244" s="185">
        <f t="shared" si="211"/>
        <v>531012.11050000007</v>
      </c>
      <c r="F244" s="185">
        <f>21595*(B$6+1)*12</f>
        <v>277279.80000000005</v>
      </c>
      <c r="G244" s="185">
        <f>F244*0.22</f>
        <v>61001.556000000011</v>
      </c>
      <c r="H244" s="185">
        <f t="shared" si="209"/>
        <v>49703.64</v>
      </c>
      <c r="I244" s="185">
        <f t="shared" si="210"/>
        <v>8400</v>
      </c>
      <c r="J244" s="198">
        <v>1926</v>
      </c>
      <c r="K244" s="185">
        <f>8780*12</f>
        <v>105360</v>
      </c>
      <c r="L244" s="185">
        <v>93</v>
      </c>
      <c r="M244" s="185">
        <f t="shared" si="214"/>
        <v>4141.464500000001</v>
      </c>
      <c r="N244" s="185">
        <f>F244/12</f>
        <v>23106.650000000005</v>
      </c>
      <c r="O244" s="185"/>
    </row>
    <row r="245" spans="1:112" x14ac:dyDescent="0.2">
      <c r="A245" s="184" t="s">
        <v>329</v>
      </c>
      <c r="B245" s="213"/>
      <c r="C245" s="195"/>
      <c r="E245" s="185">
        <f t="shared" si="211"/>
        <v>0</v>
      </c>
      <c r="F245" s="185"/>
      <c r="G245" s="185"/>
      <c r="H245" s="185"/>
      <c r="I245" s="185"/>
      <c r="J245" s="198"/>
      <c r="K245" s="185"/>
      <c r="L245" s="185"/>
      <c r="M245" s="185"/>
      <c r="N245" s="185"/>
      <c r="O245" s="185"/>
    </row>
    <row r="246" spans="1:112" x14ac:dyDescent="0.2">
      <c r="A246" s="184" t="s">
        <v>157</v>
      </c>
      <c r="B246" s="213"/>
      <c r="C246" s="195"/>
      <c r="E246" s="185">
        <f t="shared" si="211"/>
        <v>30000</v>
      </c>
      <c r="F246" s="185"/>
      <c r="G246" s="185"/>
      <c r="H246" s="185"/>
      <c r="I246" s="185"/>
      <c r="J246" s="198"/>
      <c r="K246" s="185"/>
      <c r="L246" s="185"/>
      <c r="M246" s="185"/>
      <c r="N246" s="185"/>
      <c r="O246" s="185">
        <v>30000</v>
      </c>
    </row>
    <row r="247" spans="1:112" x14ac:dyDescent="0.2">
      <c r="A247" s="195" t="s">
        <v>164</v>
      </c>
      <c r="B247" s="215"/>
      <c r="C247" s="195" t="s">
        <v>164</v>
      </c>
      <c r="E247" s="185">
        <f t="shared" si="211"/>
        <v>63200</v>
      </c>
      <c r="F247" s="185"/>
      <c r="G247" s="185"/>
      <c r="H247" s="185"/>
      <c r="I247" s="185"/>
      <c r="J247" s="198"/>
      <c r="K247" s="185"/>
      <c r="L247" s="185"/>
      <c r="M247" s="185"/>
      <c r="N247" s="185"/>
      <c r="O247" s="185"/>
      <c r="P247" s="185">
        <v>63200</v>
      </c>
    </row>
    <row r="248" spans="1:112" ht="13.5" thickBot="1" x14ac:dyDescent="0.25">
      <c r="A248" s="195" t="s">
        <v>172</v>
      </c>
      <c r="E248" s="205">
        <f t="shared" ref="E248:P248" si="220">SUM(E236:E247)</f>
        <v>7220423.7369000018</v>
      </c>
      <c r="F248" s="205">
        <f t="shared" si="220"/>
        <v>4113525.12</v>
      </c>
      <c r="G248" s="205">
        <f t="shared" si="220"/>
        <v>812511.10460000008</v>
      </c>
      <c r="H248" s="205">
        <f t="shared" si="220"/>
        <v>447332.76000000007</v>
      </c>
      <c r="I248" s="205">
        <f t="shared" si="220"/>
        <v>67200</v>
      </c>
      <c r="J248" s="205">
        <f t="shared" si="220"/>
        <v>17334</v>
      </c>
      <c r="K248" s="205">
        <f t="shared" si="220"/>
        <v>1229040</v>
      </c>
      <c r="L248" s="205">
        <f t="shared" si="220"/>
        <v>837</v>
      </c>
      <c r="M248" s="205">
        <f t="shared" si="220"/>
        <v>44123.820700000004</v>
      </c>
      <c r="N248" s="205">
        <f t="shared" si="220"/>
        <v>395319.93160000007</v>
      </c>
      <c r="O248" s="205">
        <f t="shared" si="220"/>
        <v>30000</v>
      </c>
      <c r="P248" s="205">
        <f t="shared" si="220"/>
        <v>63200</v>
      </c>
    </row>
    <row r="249" spans="1:112" ht="13.5" thickTop="1" x14ac:dyDescent="0.2">
      <c r="A249" s="195"/>
      <c r="C249" s="184" t="s">
        <v>199</v>
      </c>
      <c r="D249" s="228" t="s">
        <v>443</v>
      </c>
      <c r="E249" s="208"/>
      <c r="F249" s="208"/>
      <c r="G249" s="208"/>
      <c r="H249" s="208"/>
      <c r="I249" s="208"/>
      <c r="J249" s="208"/>
      <c r="K249" s="208"/>
      <c r="L249" s="208"/>
      <c r="M249" s="208"/>
      <c r="N249" s="208"/>
      <c r="O249" s="208"/>
    </row>
    <row r="250" spans="1:112" x14ac:dyDescent="0.2">
      <c r="A250" s="195"/>
      <c r="E250" s="208"/>
      <c r="F250" s="208"/>
      <c r="G250" s="208"/>
      <c r="H250" s="208"/>
      <c r="I250" s="208"/>
      <c r="J250" s="208"/>
      <c r="K250" s="208"/>
      <c r="L250" s="208"/>
      <c r="M250" s="208"/>
      <c r="N250" s="208"/>
      <c r="O250" s="208"/>
    </row>
    <row r="251" spans="1:112" x14ac:dyDescent="0.2">
      <c r="A251" s="192" t="s">
        <v>229</v>
      </c>
      <c r="C251" s="184" t="s">
        <v>176</v>
      </c>
      <c r="D251" s="193" t="s">
        <v>177</v>
      </c>
      <c r="E251" s="193" t="s">
        <v>178</v>
      </c>
      <c r="F251" s="193" t="s">
        <v>179</v>
      </c>
      <c r="G251" s="193" t="s">
        <v>180</v>
      </c>
      <c r="H251" s="193" t="s">
        <v>181</v>
      </c>
      <c r="I251" s="193" t="s">
        <v>182</v>
      </c>
      <c r="J251" s="193" t="s">
        <v>183</v>
      </c>
      <c r="K251" s="193" t="s">
        <v>184</v>
      </c>
      <c r="L251" s="193" t="s">
        <v>185</v>
      </c>
      <c r="M251" s="193" t="s">
        <v>186</v>
      </c>
      <c r="N251" s="193" t="s">
        <v>187</v>
      </c>
      <c r="O251" s="193"/>
    </row>
    <row r="252" spans="1:112" x14ac:dyDescent="0.2">
      <c r="A252" s="195"/>
      <c r="D252" s="193" t="s">
        <v>188</v>
      </c>
      <c r="E252" s="193" t="s">
        <v>189</v>
      </c>
      <c r="F252" s="193"/>
      <c r="G252" s="193" t="s">
        <v>190</v>
      </c>
      <c r="H252" s="193" t="s">
        <v>190</v>
      </c>
      <c r="I252" s="193" t="s">
        <v>191</v>
      </c>
      <c r="J252" s="193"/>
      <c r="K252" s="193" t="s">
        <v>192</v>
      </c>
      <c r="L252" s="193" t="s">
        <v>193</v>
      </c>
      <c r="M252" s="193" t="s">
        <v>194</v>
      </c>
      <c r="N252" s="193" t="s">
        <v>195</v>
      </c>
      <c r="O252" s="193"/>
    </row>
    <row r="253" spans="1:112" x14ac:dyDescent="0.2">
      <c r="A253" s="195"/>
      <c r="D253" s="193"/>
      <c r="E253" s="193"/>
      <c r="F253" s="193"/>
      <c r="G253" s="193"/>
      <c r="H253" s="193"/>
      <c r="I253" s="193"/>
      <c r="J253" s="193"/>
      <c r="K253" s="193"/>
      <c r="L253" s="193"/>
      <c r="M253" s="193"/>
      <c r="N253" s="193"/>
      <c r="O253" s="193"/>
    </row>
    <row r="254" spans="1:112" x14ac:dyDescent="0.2">
      <c r="A254" s="195" t="s">
        <v>417</v>
      </c>
      <c r="C254" s="184" t="s">
        <v>33</v>
      </c>
      <c r="D254" s="184">
        <v>2</v>
      </c>
      <c r="E254" s="185">
        <f>SUM(F254:P254)</f>
        <v>1011804.6731000001</v>
      </c>
      <c r="F254" s="185">
        <f>47129*(B$6+1)*12</f>
        <v>605136.3600000001</v>
      </c>
      <c r="G254" s="185">
        <f>F254*0.22</f>
        <v>133129.99920000002</v>
      </c>
      <c r="H254" s="185">
        <f t="shared" ref="H254:H257" si="221">3871*(B$7+1)*12</f>
        <v>49703.64</v>
      </c>
      <c r="I254" s="185">
        <f t="shared" ref="I254:I257" si="222">700*12</f>
        <v>8400</v>
      </c>
      <c r="J254" s="198">
        <v>1926</v>
      </c>
      <c r="K254" s="194">
        <f t="shared" ref="K254" si="223">12900*12</f>
        <v>154800</v>
      </c>
      <c r="L254" s="185">
        <v>93</v>
      </c>
      <c r="M254" s="185">
        <f t="shared" ref="M254" si="224">(N254+I254+K254+F254)*0.01</f>
        <v>8187.6439000000018</v>
      </c>
      <c r="N254" s="185">
        <f>F254/12</f>
        <v>50428.030000000006</v>
      </c>
      <c r="O254" s="185"/>
    </row>
    <row r="255" spans="1:112" s="203" customFormat="1" x14ac:dyDescent="0.2">
      <c r="A255" s="200" t="s">
        <v>672</v>
      </c>
      <c r="B255" s="200"/>
      <c r="C255" s="200" t="s">
        <v>34</v>
      </c>
      <c r="D255" s="235">
        <v>3</v>
      </c>
      <c r="E255" s="201"/>
      <c r="F255" s="201"/>
      <c r="G255" s="201"/>
      <c r="H255" s="201"/>
      <c r="I255" s="201"/>
      <c r="J255" s="202"/>
      <c r="K255" s="201"/>
      <c r="L255" s="201"/>
      <c r="M255" s="201"/>
      <c r="N255" s="201"/>
      <c r="O255" s="201"/>
      <c r="P255" s="201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/>
      <c r="AA255" s="200"/>
      <c r="AB255" s="200"/>
      <c r="AC255" s="200"/>
      <c r="AD255" s="200"/>
      <c r="AE255" s="200"/>
      <c r="AF255" s="200"/>
      <c r="AG255" s="200"/>
      <c r="AH255" s="200"/>
      <c r="AI255" s="200"/>
      <c r="AJ255" s="200"/>
      <c r="AK255" s="200"/>
      <c r="AL255" s="200"/>
      <c r="AM255" s="200"/>
      <c r="AN255" s="200"/>
      <c r="AO255" s="200"/>
      <c r="AP255" s="200"/>
      <c r="AQ255" s="200"/>
      <c r="AR255" s="200"/>
      <c r="AS255" s="200"/>
      <c r="AT255" s="200"/>
      <c r="AU255" s="200"/>
      <c r="AV255" s="200"/>
      <c r="AW255" s="200"/>
      <c r="AX255" s="200"/>
      <c r="AY255" s="200"/>
      <c r="AZ255" s="200"/>
      <c r="BA255" s="200"/>
      <c r="BB255" s="200"/>
      <c r="BC255" s="200"/>
      <c r="BD255" s="200"/>
      <c r="BE255" s="200"/>
      <c r="BF255" s="200"/>
      <c r="BG255" s="200"/>
      <c r="BH255" s="200"/>
      <c r="BI255" s="200"/>
      <c r="BJ255" s="200"/>
      <c r="BK255" s="200"/>
      <c r="BL255" s="200"/>
      <c r="BM255" s="200"/>
      <c r="BN255" s="200"/>
      <c r="BO255" s="200"/>
      <c r="BP255" s="200"/>
      <c r="BQ255" s="200"/>
      <c r="BR255" s="200"/>
      <c r="BS255" s="200"/>
      <c r="BT255" s="200"/>
      <c r="BU255" s="200"/>
      <c r="BV255" s="200"/>
      <c r="BW255" s="200"/>
      <c r="BX255" s="200"/>
      <c r="BY255" s="200"/>
      <c r="BZ255" s="200"/>
      <c r="CA255" s="200"/>
      <c r="CB255" s="200"/>
      <c r="CC255" s="200"/>
      <c r="CD255" s="200"/>
      <c r="CE255" s="200"/>
      <c r="CF255" s="200"/>
      <c r="CG255" s="200"/>
      <c r="CH255" s="200"/>
      <c r="CI255" s="200"/>
      <c r="CJ255" s="200"/>
      <c r="CK255" s="200"/>
      <c r="CL255" s="200"/>
      <c r="CM255" s="200"/>
      <c r="CN255" s="200"/>
      <c r="CO255" s="200"/>
      <c r="CP255" s="200"/>
      <c r="CQ255" s="200"/>
      <c r="CR255" s="200"/>
      <c r="CS255" s="200"/>
      <c r="CT255" s="200"/>
      <c r="CU255" s="200"/>
      <c r="CV255" s="200"/>
      <c r="CW255" s="200"/>
      <c r="CX255" s="200"/>
      <c r="CY255" s="200"/>
      <c r="CZ255" s="200"/>
      <c r="DA255" s="200"/>
      <c r="DB255" s="200"/>
      <c r="DC255" s="200"/>
      <c r="DD255" s="200"/>
      <c r="DE255" s="200"/>
      <c r="DF255" s="200"/>
      <c r="DG255" s="200"/>
      <c r="DH255" s="200"/>
    </row>
    <row r="256" spans="1:112" x14ac:dyDescent="0.2">
      <c r="A256" s="195" t="s">
        <v>671</v>
      </c>
      <c r="C256" s="184" t="s">
        <v>46</v>
      </c>
      <c r="D256" s="184">
        <v>5</v>
      </c>
      <c r="E256" s="185">
        <f>SUM(F256:P256)</f>
        <v>715422.52520000003</v>
      </c>
      <c r="F256" s="185">
        <f>31799*(B$6+1)*12</f>
        <v>408299.16000000003</v>
      </c>
      <c r="G256" s="185">
        <f>F256*0.22</f>
        <v>89825.815200000012</v>
      </c>
      <c r="H256" s="185">
        <f t="shared" si="221"/>
        <v>49703.64</v>
      </c>
      <c r="I256" s="185">
        <f t="shared" si="222"/>
        <v>8400</v>
      </c>
      <c r="J256" s="198">
        <v>1926</v>
      </c>
      <c r="K256" s="194">
        <f>10080*12</f>
        <v>120960</v>
      </c>
      <c r="L256" s="185">
        <v>93</v>
      </c>
      <c r="M256" s="185">
        <v>2189.98</v>
      </c>
      <c r="N256" s="185">
        <f>F256/12</f>
        <v>34024.93</v>
      </c>
      <c r="O256" s="185"/>
    </row>
    <row r="257" spans="1:112" x14ac:dyDescent="0.2">
      <c r="A257" s="195" t="s">
        <v>196</v>
      </c>
      <c r="C257" s="184" t="s">
        <v>427</v>
      </c>
      <c r="D257" s="184">
        <v>8</v>
      </c>
      <c r="E257" s="185">
        <f t="shared" ref="E257" si="225">SUM(F257:P257)</f>
        <v>507499.31050000008</v>
      </c>
      <c r="F257" s="185">
        <f>21595*(B$6+1)*12</f>
        <v>277279.80000000005</v>
      </c>
      <c r="G257" s="185">
        <f>F257*0.22</f>
        <v>61001.556000000011</v>
      </c>
      <c r="H257" s="185">
        <f t="shared" si="221"/>
        <v>49703.64</v>
      </c>
      <c r="I257" s="185">
        <f t="shared" si="222"/>
        <v>8400</v>
      </c>
      <c r="J257" s="198">
        <v>1926</v>
      </c>
      <c r="K257" s="185">
        <f>6840*12</f>
        <v>82080</v>
      </c>
      <c r="L257" s="185">
        <v>93</v>
      </c>
      <c r="M257" s="185">
        <f t="shared" ref="M257" si="226">(N257+I257+K257+F257)*0.01</f>
        <v>3908.6645000000008</v>
      </c>
      <c r="N257" s="185">
        <f>F257/12</f>
        <v>23106.650000000005</v>
      </c>
      <c r="O257" s="185"/>
    </row>
    <row r="258" spans="1:112" x14ac:dyDescent="0.2">
      <c r="A258" s="195" t="s">
        <v>329</v>
      </c>
      <c r="E258" s="185">
        <f>SUM(F258:N258)</f>
        <v>0</v>
      </c>
      <c r="F258" s="185"/>
      <c r="G258" s="185"/>
      <c r="H258" s="185"/>
      <c r="I258" s="185"/>
      <c r="J258" s="198"/>
      <c r="K258" s="194"/>
      <c r="L258" s="185"/>
      <c r="M258" s="185"/>
      <c r="N258" s="185"/>
      <c r="O258" s="185"/>
    </row>
    <row r="259" spans="1:112" ht="13.5" thickBot="1" x14ac:dyDescent="0.25">
      <c r="A259" s="195"/>
      <c r="E259" s="205">
        <f t="shared" ref="E259:M259" si="227">SUM(E254:E258)</f>
        <v>2234726.5088000004</v>
      </c>
      <c r="F259" s="205">
        <f t="shared" si="227"/>
        <v>1290715.3200000003</v>
      </c>
      <c r="G259" s="205">
        <f t="shared" si="227"/>
        <v>283957.37040000001</v>
      </c>
      <c r="H259" s="205">
        <f t="shared" si="227"/>
        <v>149110.91999999998</v>
      </c>
      <c r="I259" s="205">
        <f t="shared" si="227"/>
        <v>25200</v>
      </c>
      <c r="J259" s="205">
        <f t="shared" si="227"/>
        <v>5778</v>
      </c>
      <c r="K259" s="205">
        <f t="shared" si="227"/>
        <v>357840</v>
      </c>
      <c r="L259" s="205">
        <f t="shared" si="227"/>
        <v>279</v>
      </c>
      <c r="M259" s="205">
        <f t="shared" si="227"/>
        <v>14286.288400000003</v>
      </c>
      <c r="N259" s="205">
        <f>SUM(N254:N258)</f>
        <v>107559.61000000002</v>
      </c>
      <c r="O259" s="208"/>
    </row>
    <row r="260" spans="1:112" ht="13.5" thickTop="1" x14ac:dyDescent="0.2">
      <c r="C260" s="184" t="s">
        <v>199</v>
      </c>
      <c r="D260" s="184">
        <f>COUNT(D254:D259)</f>
        <v>4</v>
      </c>
      <c r="E260" s="208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</row>
    <row r="261" spans="1:112" x14ac:dyDescent="0.2"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</row>
    <row r="262" spans="1:112" x14ac:dyDescent="0.2">
      <c r="A262" s="192" t="s">
        <v>326</v>
      </c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</row>
    <row r="263" spans="1:112" x14ac:dyDescent="0.2">
      <c r="C263" s="184" t="s">
        <v>176</v>
      </c>
      <c r="D263" s="193" t="s">
        <v>177</v>
      </c>
      <c r="E263" s="193" t="s">
        <v>178</v>
      </c>
      <c r="F263" s="193" t="s">
        <v>179</v>
      </c>
      <c r="G263" s="193" t="s">
        <v>180</v>
      </c>
      <c r="H263" s="193" t="s">
        <v>181</v>
      </c>
      <c r="I263" s="193" t="s">
        <v>182</v>
      </c>
      <c r="J263" s="193" t="s">
        <v>183</v>
      </c>
      <c r="K263" s="193" t="s">
        <v>184</v>
      </c>
      <c r="L263" s="193" t="s">
        <v>185</v>
      </c>
      <c r="M263" s="193" t="s">
        <v>186</v>
      </c>
      <c r="N263" s="193" t="s">
        <v>187</v>
      </c>
      <c r="O263" s="193"/>
      <c r="P263" s="185" t="s">
        <v>164</v>
      </c>
    </row>
    <row r="264" spans="1:112" x14ac:dyDescent="0.2">
      <c r="D264" s="193" t="s">
        <v>188</v>
      </c>
      <c r="E264" s="193" t="s">
        <v>189</v>
      </c>
      <c r="F264" s="193"/>
      <c r="G264" s="193" t="s">
        <v>190</v>
      </c>
      <c r="H264" s="193" t="s">
        <v>190</v>
      </c>
      <c r="I264" s="193" t="s">
        <v>191</v>
      </c>
      <c r="J264" s="193"/>
      <c r="K264" s="193" t="s">
        <v>192</v>
      </c>
      <c r="L264" s="193" t="s">
        <v>193</v>
      </c>
      <c r="M264" s="193" t="s">
        <v>194</v>
      </c>
      <c r="N264" s="193" t="s">
        <v>195</v>
      </c>
      <c r="O264" s="193"/>
    </row>
    <row r="266" spans="1:112" s="204" customFormat="1" x14ac:dyDescent="0.2">
      <c r="A266" s="195" t="s">
        <v>755</v>
      </c>
      <c r="B266" s="184"/>
      <c r="C266" s="195" t="s">
        <v>454</v>
      </c>
      <c r="D266" s="184">
        <v>8</v>
      </c>
      <c r="E266" s="185">
        <f>SUM(F266:P266)</f>
        <v>424598.51050000009</v>
      </c>
      <c r="F266" s="185">
        <f>21595*(B$6+1)*12</f>
        <v>277279.80000000005</v>
      </c>
      <c r="G266" s="185">
        <f t="shared" ref="G266" si="228">F266*0.22</f>
        <v>61001.556000000011</v>
      </c>
      <c r="H266" s="185">
        <f t="shared" ref="H266:H273" si="229">3871*(B$7+1)*12</f>
        <v>49703.64</v>
      </c>
      <c r="I266" s="185">
        <f t="shared" ref="I266:I274" si="230">700*12</f>
        <v>8400</v>
      </c>
      <c r="J266" s="198">
        <v>1926</v>
      </c>
      <c r="K266" s="185">
        <v>0</v>
      </c>
      <c r="L266" s="185">
        <v>93</v>
      </c>
      <c r="M266" s="185">
        <f>(N266+I266+K266+F266)*0.01</f>
        <v>3087.8645000000006</v>
      </c>
      <c r="N266" s="185">
        <f t="shared" ref="N266" si="231">F266/12</f>
        <v>23106.650000000005</v>
      </c>
      <c r="O266" s="185"/>
      <c r="P266" s="185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184"/>
      <c r="AX266" s="184"/>
      <c r="AY266" s="184"/>
      <c r="AZ266" s="184"/>
      <c r="BA266" s="184"/>
      <c r="BB266" s="184"/>
      <c r="BC266" s="184"/>
      <c r="BD266" s="184"/>
      <c r="BE266" s="184"/>
      <c r="BF266" s="184"/>
      <c r="BG266" s="184"/>
      <c r="BH266" s="184"/>
      <c r="BI266" s="184"/>
      <c r="BJ266" s="184"/>
      <c r="BK266" s="184"/>
      <c r="BL266" s="184"/>
      <c r="BM266" s="184"/>
      <c r="BN266" s="184"/>
      <c r="BO266" s="184"/>
      <c r="BP266" s="184"/>
      <c r="BQ266" s="184"/>
      <c r="BR266" s="184"/>
      <c r="BS266" s="184"/>
      <c r="BT266" s="184"/>
      <c r="BU266" s="184"/>
      <c r="BV266" s="184"/>
      <c r="BW266" s="184"/>
      <c r="BX266" s="184"/>
      <c r="BY266" s="184"/>
      <c r="BZ266" s="184"/>
      <c r="CA266" s="184"/>
      <c r="CB266" s="184"/>
      <c r="CC266" s="184"/>
      <c r="CD266" s="184"/>
      <c r="CE266" s="184"/>
      <c r="CF266" s="184"/>
      <c r="CG266" s="184"/>
      <c r="CH266" s="184"/>
      <c r="CI266" s="184"/>
      <c r="CJ266" s="184"/>
      <c r="CK266" s="184"/>
      <c r="CL266" s="184"/>
      <c r="CM266" s="184"/>
      <c r="CN266" s="184"/>
      <c r="CO266" s="184"/>
      <c r="CP266" s="184"/>
      <c r="CQ266" s="184"/>
      <c r="CR266" s="184"/>
      <c r="CS266" s="184"/>
      <c r="CT266" s="184"/>
      <c r="CU266" s="184"/>
      <c r="CV266" s="184"/>
      <c r="CW266" s="184"/>
      <c r="CX266" s="184"/>
      <c r="CY266" s="184"/>
      <c r="CZ266" s="184"/>
      <c r="DA266" s="184"/>
      <c r="DB266" s="184"/>
      <c r="DC266" s="184"/>
      <c r="DD266" s="184"/>
      <c r="DE266" s="184"/>
      <c r="DF266" s="184"/>
      <c r="DG266" s="184"/>
      <c r="DH266" s="184"/>
    </row>
    <row r="267" spans="1:112" x14ac:dyDescent="0.2">
      <c r="A267" s="195" t="s">
        <v>756</v>
      </c>
      <c r="C267" s="195" t="s">
        <v>345</v>
      </c>
      <c r="D267" s="184">
        <v>2</v>
      </c>
      <c r="E267" s="185">
        <f t="shared" ref="E267:E270" si="232">SUM(F267:P267)</f>
        <v>1011804.6731000001</v>
      </c>
      <c r="F267" s="185">
        <f>47129*(B$6+1)*12</f>
        <v>605136.3600000001</v>
      </c>
      <c r="G267" s="185">
        <f t="shared" ref="G267:G274" si="233">F267*0.22</f>
        <v>133129.99920000002</v>
      </c>
      <c r="H267" s="185">
        <f t="shared" si="229"/>
        <v>49703.64</v>
      </c>
      <c r="I267" s="185">
        <f t="shared" si="230"/>
        <v>8400</v>
      </c>
      <c r="J267" s="198">
        <v>1926</v>
      </c>
      <c r="K267" s="194">
        <f t="shared" ref="K267:K268" si="234">12900*12</f>
        <v>154800</v>
      </c>
      <c r="L267" s="185">
        <v>93</v>
      </c>
      <c r="M267" s="185">
        <f>(N267+I267+K267+F267)*0.01</f>
        <v>8187.6439000000018</v>
      </c>
      <c r="N267" s="185">
        <f t="shared" ref="N267:N274" si="235">F267/12</f>
        <v>50428.030000000006</v>
      </c>
      <c r="O267" s="185"/>
    </row>
    <row r="268" spans="1:112" x14ac:dyDescent="0.2">
      <c r="A268" s="195" t="s">
        <v>757</v>
      </c>
      <c r="B268" s="213"/>
      <c r="C268" s="184" t="s">
        <v>359</v>
      </c>
      <c r="D268" s="184">
        <v>2</v>
      </c>
      <c r="E268" s="185">
        <f>SUM(F268:P268)</f>
        <v>1011804.6731000001</v>
      </c>
      <c r="F268" s="185">
        <f>47129*(B$6+1)*12</f>
        <v>605136.3600000001</v>
      </c>
      <c r="G268" s="185">
        <f t="shared" si="233"/>
        <v>133129.99920000002</v>
      </c>
      <c r="H268" s="185">
        <f t="shared" si="229"/>
        <v>49703.64</v>
      </c>
      <c r="I268" s="185">
        <f t="shared" si="230"/>
        <v>8400</v>
      </c>
      <c r="J268" s="198">
        <v>1926</v>
      </c>
      <c r="K268" s="194">
        <f t="shared" si="234"/>
        <v>154800</v>
      </c>
      <c r="L268" s="185">
        <v>93</v>
      </c>
      <c r="M268" s="185">
        <f>(N268+I268+K268+F268)*0.01</f>
        <v>8187.6439000000018</v>
      </c>
      <c r="N268" s="185">
        <f t="shared" si="235"/>
        <v>50428.030000000006</v>
      </c>
      <c r="O268" s="185"/>
    </row>
    <row r="269" spans="1:112" x14ac:dyDescent="0.2">
      <c r="A269" s="195" t="s">
        <v>758</v>
      </c>
      <c r="C269" s="195" t="s">
        <v>413</v>
      </c>
      <c r="D269" s="184" t="s">
        <v>347</v>
      </c>
      <c r="E269" s="185">
        <f t="shared" ref="E269" si="236">SUM(F269:P269)</f>
        <v>912075.38430000003</v>
      </c>
      <c r="F269" s="185">
        <f>41937*(B$6+1)*12</f>
        <v>538471.08000000007</v>
      </c>
      <c r="G269" s="185">
        <f t="shared" si="233"/>
        <v>118463.63760000002</v>
      </c>
      <c r="H269" s="185">
        <f t="shared" si="229"/>
        <v>49703.64</v>
      </c>
      <c r="I269" s="185">
        <f t="shared" si="230"/>
        <v>8400</v>
      </c>
      <c r="J269" s="198">
        <v>1926</v>
      </c>
      <c r="K269" s="185">
        <f>11900*12</f>
        <v>142800</v>
      </c>
      <c r="L269" s="185">
        <v>93</v>
      </c>
      <c r="M269" s="185">
        <f t="shared" ref="M269" si="237">(N269+I269+K269+F269)*0.01</f>
        <v>7345.4367000000002</v>
      </c>
      <c r="N269" s="185">
        <f t="shared" si="235"/>
        <v>44872.590000000004</v>
      </c>
      <c r="O269" s="185"/>
    </row>
    <row r="270" spans="1:112" s="204" customFormat="1" x14ac:dyDescent="0.2">
      <c r="A270" s="195" t="s">
        <v>759</v>
      </c>
      <c r="B270" s="184"/>
      <c r="C270" s="184" t="s">
        <v>77</v>
      </c>
      <c r="D270" s="184" t="s">
        <v>347</v>
      </c>
      <c r="E270" s="185">
        <f t="shared" si="232"/>
        <v>912075.38430000003</v>
      </c>
      <c r="F270" s="185">
        <f>41937*(B$6+1)*12</f>
        <v>538471.08000000007</v>
      </c>
      <c r="G270" s="185">
        <f t="shared" si="233"/>
        <v>118463.63760000002</v>
      </c>
      <c r="H270" s="185">
        <f t="shared" si="229"/>
        <v>49703.64</v>
      </c>
      <c r="I270" s="185">
        <f t="shared" si="230"/>
        <v>8400</v>
      </c>
      <c r="J270" s="198">
        <v>1926</v>
      </c>
      <c r="K270" s="185">
        <f>11900*12</f>
        <v>142800</v>
      </c>
      <c r="L270" s="185">
        <v>93</v>
      </c>
      <c r="M270" s="185">
        <f t="shared" ref="M270:M271" si="238">(N270+I270+K270+F270)*0.01</f>
        <v>7345.4367000000002</v>
      </c>
      <c r="N270" s="185">
        <f t="shared" si="235"/>
        <v>44872.590000000004</v>
      </c>
      <c r="O270" s="185"/>
      <c r="P270" s="185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84"/>
      <c r="AS270" s="184"/>
      <c r="AT270" s="184"/>
      <c r="AU270" s="184"/>
      <c r="AV270" s="184"/>
      <c r="AW270" s="184"/>
      <c r="AX270" s="184"/>
      <c r="AY270" s="184"/>
      <c r="AZ270" s="184"/>
      <c r="BA270" s="184"/>
      <c r="BB270" s="184"/>
      <c r="BC270" s="184"/>
      <c r="BD270" s="184"/>
      <c r="BE270" s="184"/>
      <c r="BF270" s="184"/>
      <c r="BG270" s="184"/>
      <c r="BH270" s="184"/>
      <c r="BI270" s="184"/>
      <c r="BJ270" s="184"/>
      <c r="BK270" s="184"/>
      <c r="BL270" s="184"/>
      <c r="BM270" s="184"/>
      <c r="BN270" s="184"/>
      <c r="BO270" s="184"/>
      <c r="BP270" s="184"/>
      <c r="BQ270" s="184"/>
      <c r="BR270" s="184"/>
      <c r="BS270" s="184"/>
      <c r="BT270" s="184"/>
      <c r="BU270" s="184"/>
      <c r="BV270" s="184"/>
      <c r="BW270" s="184"/>
      <c r="BX270" s="184"/>
      <c r="BY270" s="184"/>
      <c r="BZ270" s="184"/>
      <c r="CA270" s="184"/>
      <c r="CB270" s="184"/>
      <c r="CC270" s="184"/>
      <c r="CD270" s="184"/>
      <c r="CE270" s="184"/>
      <c r="CF270" s="184"/>
      <c r="CG270" s="184"/>
      <c r="CH270" s="184"/>
      <c r="CI270" s="184"/>
      <c r="CJ270" s="184"/>
      <c r="CK270" s="184"/>
      <c r="CL270" s="184"/>
      <c r="CM270" s="184"/>
      <c r="CN270" s="184"/>
      <c r="CO270" s="184"/>
      <c r="CP270" s="184"/>
      <c r="CQ270" s="184"/>
      <c r="CR270" s="184"/>
      <c r="CS270" s="184"/>
      <c r="CT270" s="184"/>
      <c r="CU270" s="184"/>
      <c r="CV270" s="184"/>
      <c r="CW270" s="184"/>
      <c r="CX270" s="184"/>
      <c r="CY270" s="184"/>
      <c r="CZ270" s="184"/>
      <c r="DA270" s="184"/>
      <c r="DB270" s="184"/>
      <c r="DC270" s="184"/>
      <c r="DD270" s="184"/>
      <c r="DE270" s="184"/>
      <c r="DF270" s="184"/>
      <c r="DG270" s="184"/>
      <c r="DH270" s="184"/>
    </row>
    <row r="271" spans="1:112" x14ac:dyDescent="0.2">
      <c r="A271" s="195" t="s">
        <v>761</v>
      </c>
      <c r="C271" s="184" t="s">
        <v>34</v>
      </c>
      <c r="D271" s="184">
        <v>8</v>
      </c>
      <c r="E271" s="185">
        <f t="shared" ref="E271" si="239">SUM(F271:P271)</f>
        <v>531012.11050000007</v>
      </c>
      <c r="F271" s="185">
        <f>21595*(B$6+1)*12</f>
        <v>277279.80000000005</v>
      </c>
      <c r="G271" s="185">
        <f t="shared" si="233"/>
        <v>61001.556000000011</v>
      </c>
      <c r="H271" s="185">
        <f t="shared" ref="H271" si="240">3871*(B$7+1)*12</f>
        <v>49703.64</v>
      </c>
      <c r="I271" s="185">
        <f t="shared" si="230"/>
        <v>8400</v>
      </c>
      <c r="J271" s="198">
        <v>1926</v>
      </c>
      <c r="K271" s="185">
        <f>8780*12</f>
        <v>105360</v>
      </c>
      <c r="L271" s="185">
        <v>93</v>
      </c>
      <c r="M271" s="185">
        <f t="shared" si="238"/>
        <v>4141.464500000001</v>
      </c>
      <c r="N271" s="185">
        <f t="shared" si="235"/>
        <v>23106.650000000005</v>
      </c>
    </row>
    <row r="272" spans="1:112" x14ac:dyDescent="0.2">
      <c r="A272" s="195" t="s">
        <v>761</v>
      </c>
      <c r="B272" s="213"/>
      <c r="C272" s="184" t="s">
        <v>91</v>
      </c>
      <c r="D272" s="184">
        <v>8</v>
      </c>
      <c r="E272" s="185">
        <f t="shared" ref="E272:E276" si="241">SUM(F272:P272)</f>
        <v>531012.11050000007</v>
      </c>
      <c r="F272" s="185">
        <f>21595*(B$6+1)*12</f>
        <v>277279.80000000005</v>
      </c>
      <c r="G272" s="185">
        <f t="shared" si="233"/>
        <v>61001.556000000011</v>
      </c>
      <c r="H272" s="185">
        <f t="shared" si="229"/>
        <v>49703.64</v>
      </c>
      <c r="I272" s="185">
        <f t="shared" si="230"/>
        <v>8400</v>
      </c>
      <c r="J272" s="198">
        <v>1926</v>
      </c>
      <c r="K272" s="185">
        <f>8780*12</f>
        <v>105360</v>
      </c>
      <c r="L272" s="185">
        <v>93</v>
      </c>
      <c r="M272" s="185">
        <f t="shared" ref="M272:M273" si="242">(N272+I272+K272+F272)*0.01</f>
        <v>4141.464500000001</v>
      </c>
      <c r="N272" s="185">
        <f t="shared" si="235"/>
        <v>23106.650000000005</v>
      </c>
      <c r="O272" s="185"/>
    </row>
    <row r="273" spans="1:112" x14ac:dyDescent="0.2">
      <c r="A273" s="195" t="s">
        <v>760</v>
      </c>
      <c r="B273" s="213"/>
      <c r="C273" s="184" t="s">
        <v>92</v>
      </c>
      <c r="D273" s="184">
        <v>8</v>
      </c>
      <c r="E273" s="185">
        <f t="shared" si="241"/>
        <v>531012.11050000007</v>
      </c>
      <c r="F273" s="185">
        <f>21595*(B$6+1)*12</f>
        <v>277279.80000000005</v>
      </c>
      <c r="G273" s="185">
        <f t="shared" si="233"/>
        <v>61001.556000000011</v>
      </c>
      <c r="H273" s="185">
        <f t="shared" si="229"/>
        <v>49703.64</v>
      </c>
      <c r="I273" s="185">
        <f t="shared" si="230"/>
        <v>8400</v>
      </c>
      <c r="J273" s="198">
        <v>1926</v>
      </c>
      <c r="K273" s="185">
        <f>8780*12</f>
        <v>105360</v>
      </c>
      <c r="L273" s="185">
        <v>93</v>
      </c>
      <c r="M273" s="185">
        <f t="shared" si="242"/>
        <v>4141.464500000001</v>
      </c>
      <c r="N273" s="185">
        <f t="shared" si="235"/>
        <v>23106.650000000005</v>
      </c>
      <c r="O273" s="185"/>
    </row>
    <row r="274" spans="1:112" s="203" customFormat="1" x14ac:dyDescent="0.2">
      <c r="A274" s="200" t="s">
        <v>555</v>
      </c>
      <c r="B274" s="214"/>
      <c r="C274" s="200" t="s">
        <v>34</v>
      </c>
      <c r="D274" s="200">
        <v>8</v>
      </c>
      <c r="E274" s="185">
        <f>SUM(F274:P274)</f>
        <v>424598.51050000009</v>
      </c>
      <c r="F274" s="185">
        <f>21595*(B$6+1)*12</f>
        <v>277279.80000000005</v>
      </c>
      <c r="G274" s="185">
        <f t="shared" si="233"/>
        <v>61001.556000000011</v>
      </c>
      <c r="H274" s="185">
        <f t="shared" ref="H274" si="243">3871*(B$7+1)*12</f>
        <v>49703.64</v>
      </c>
      <c r="I274" s="185">
        <f t="shared" si="230"/>
        <v>8400</v>
      </c>
      <c r="J274" s="198">
        <v>1926</v>
      </c>
      <c r="K274" s="185">
        <v>0</v>
      </c>
      <c r="L274" s="185">
        <v>93</v>
      </c>
      <c r="M274" s="185">
        <f>(N274+I274+K274+F274)*0.01</f>
        <v>3087.8645000000006</v>
      </c>
      <c r="N274" s="185">
        <f t="shared" si="235"/>
        <v>23106.650000000005</v>
      </c>
      <c r="O274" s="201"/>
      <c r="P274" s="201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00"/>
      <c r="AT274" s="200"/>
      <c r="AU274" s="200"/>
      <c r="AV274" s="200"/>
      <c r="AW274" s="200"/>
      <c r="AX274" s="200"/>
      <c r="AY274" s="200"/>
      <c r="AZ274" s="200"/>
      <c r="BA274" s="200"/>
      <c r="BB274" s="200"/>
      <c r="BC274" s="200"/>
      <c r="BD274" s="200"/>
      <c r="BE274" s="200"/>
      <c r="BF274" s="200"/>
      <c r="BG274" s="200"/>
      <c r="BH274" s="200"/>
      <c r="BI274" s="200"/>
      <c r="BJ274" s="200"/>
      <c r="BK274" s="200"/>
      <c r="BL274" s="200"/>
      <c r="BM274" s="200"/>
      <c r="BN274" s="200"/>
      <c r="BO274" s="200"/>
      <c r="BP274" s="200"/>
      <c r="BQ274" s="200"/>
      <c r="BR274" s="200"/>
      <c r="BS274" s="200"/>
      <c r="BT274" s="200"/>
      <c r="BU274" s="200"/>
      <c r="BV274" s="200"/>
      <c r="BW274" s="200"/>
      <c r="BX274" s="200"/>
      <c r="BY274" s="200"/>
      <c r="BZ274" s="200"/>
      <c r="CA274" s="200"/>
      <c r="CB274" s="200"/>
      <c r="CC274" s="200"/>
      <c r="CD274" s="200"/>
      <c r="CE274" s="200"/>
      <c r="CF274" s="200"/>
      <c r="CG274" s="200"/>
      <c r="CH274" s="200"/>
      <c r="CI274" s="200"/>
      <c r="CJ274" s="200"/>
      <c r="CK274" s="200"/>
      <c r="CL274" s="200"/>
      <c r="CM274" s="200"/>
      <c r="CN274" s="200"/>
      <c r="CO274" s="200"/>
      <c r="CP274" s="200"/>
      <c r="CQ274" s="200"/>
      <c r="CR274" s="200"/>
      <c r="CS274" s="200"/>
      <c r="CT274" s="200"/>
      <c r="CU274" s="200"/>
      <c r="CV274" s="200"/>
      <c r="CW274" s="200"/>
      <c r="CX274" s="200"/>
      <c r="CY274" s="200"/>
      <c r="CZ274" s="200"/>
      <c r="DA274" s="200"/>
      <c r="DB274" s="200"/>
      <c r="DC274" s="200"/>
      <c r="DD274" s="200"/>
      <c r="DE274" s="200"/>
      <c r="DF274" s="200"/>
      <c r="DG274" s="200"/>
      <c r="DH274" s="200"/>
    </row>
    <row r="275" spans="1:112" x14ac:dyDescent="0.2">
      <c r="A275" s="195" t="s">
        <v>329</v>
      </c>
      <c r="B275" s="213"/>
      <c r="E275" s="185">
        <f>SUM(F275:P275)</f>
        <v>0</v>
      </c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</row>
    <row r="276" spans="1:112" x14ac:dyDescent="0.2">
      <c r="A276" s="195" t="s">
        <v>164</v>
      </c>
      <c r="B276" s="215"/>
      <c r="C276" s="195" t="s">
        <v>164</v>
      </c>
      <c r="E276" s="185">
        <f t="shared" si="241"/>
        <v>32400</v>
      </c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>
        <v>32400</v>
      </c>
    </row>
    <row r="277" spans="1:112" ht="13.5" thickBot="1" x14ac:dyDescent="0.25">
      <c r="A277" s="184" t="s">
        <v>172</v>
      </c>
      <c r="E277" s="205">
        <f t="shared" ref="E277:N277" si="244">SUM(E266:E276)</f>
        <v>6322393.4673000015</v>
      </c>
      <c r="F277" s="205">
        <f t="shared" si="244"/>
        <v>3673613.88</v>
      </c>
      <c r="G277" s="205">
        <f t="shared" si="244"/>
        <v>808195.05359999998</v>
      </c>
      <c r="H277" s="205">
        <f t="shared" si="244"/>
        <v>447332.76000000007</v>
      </c>
      <c r="I277" s="205">
        <f t="shared" si="244"/>
        <v>75600</v>
      </c>
      <c r="J277" s="205">
        <f t="shared" si="244"/>
        <v>17334</v>
      </c>
      <c r="K277" s="205">
        <f t="shared" si="244"/>
        <v>911280</v>
      </c>
      <c r="L277" s="205">
        <f t="shared" si="244"/>
        <v>837</v>
      </c>
      <c r="M277" s="205">
        <f t="shared" si="244"/>
        <v>49666.283700000015</v>
      </c>
      <c r="N277" s="205">
        <f t="shared" si="244"/>
        <v>306134.49000000005</v>
      </c>
      <c r="O277" s="205"/>
      <c r="P277" s="205">
        <f>SUM(P266:P276)</f>
        <v>32400</v>
      </c>
    </row>
    <row r="278" spans="1:112" ht="13.5" thickTop="1" x14ac:dyDescent="0.2">
      <c r="C278" s="184" t="s">
        <v>199</v>
      </c>
      <c r="D278" s="228" t="s">
        <v>443</v>
      </c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</row>
    <row r="279" spans="1:112" x14ac:dyDescent="0.2">
      <c r="A279" s="192" t="s">
        <v>322</v>
      </c>
      <c r="E279" s="185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</row>
    <row r="280" spans="1:112" x14ac:dyDescent="0.2">
      <c r="C280" s="184" t="s">
        <v>176</v>
      </c>
      <c r="D280" s="184" t="s">
        <v>177</v>
      </c>
      <c r="E280" s="193" t="s">
        <v>178</v>
      </c>
      <c r="F280" s="193" t="s">
        <v>179</v>
      </c>
      <c r="G280" s="193" t="s">
        <v>180</v>
      </c>
      <c r="H280" s="193" t="s">
        <v>181</v>
      </c>
      <c r="I280" s="193" t="s">
        <v>182</v>
      </c>
      <c r="J280" s="193" t="s">
        <v>183</v>
      </c>
      <c r="K280" s="193" t="s">
        <v>184</v>
      </c>
      <c r="L280" s="193" t="s">
        <v>185</v>
      </c>
      <c r="M280" s="193" t="s">
        <v>186</v>
      </c>
      <c r="N280" s="193" t="s">
        <v>187</v>
      </c>
      <c r="O280" s="193"/>
      <c r="P280" s="185" t="s">
        <v>164</v>
      </c>
    </row>
    <row r="281" spans="1:112" x14ac:dyDescent="0.2">
      <c r="D281" s="184" t="s">
        <v>188</v>
      </c>
      <c r="E281" s="193" t="s">
        <v>189</v>
      </c>
      <c r="F281" s="185"/>
      <c r="G281" s="193" t="s">
        <v>190</v>
      </c>
      <c r="H281" s="193" t="s">
        <v>190</v>
      </c>
      <c r="I281" s="193" t="s">
        <v>191</v>
      </c>
      <c r="J281" s="185"/>
      <c r="K281" s="193" t="s">
        <v>192</v>
      </c>
      <c r="L281" s="193" t="s">
        <v>193</v>
      </c>
      <c r="M281" s="193" t="s">
        <v>194</v>
      </c>
      <c r="N281" s="193" t="s">
        <v>195</v>
      </c>
      <c r="O281" s="193"/>
    </row>
    <row r="282" spans="1:112" x14ac:dyDescent="0.2">
      <c r="A282" s="195" t="s">
        <v>778</v>
      </c>
      <c r="B282" s="213"/>
      <c r="C282" s="195" t="s">
        <v>346</v>
      </c>
      <c r="D282" s="184">
        <v>2</v>
      </c>
      <c r="E282" s="185">
        <f t="shared" ref="E282" si="245">SUM(F282:P282)</f>
        <v>1011804.6731000001</v>
      </c>
      <c r="F282" s="185">
        <f>47129*(B$6+1)*12</f>
        <v>605136.3600000001</v>
      </c>
      <c r="G282" s="185">
        <f>F282*0.22</f>
        <v>133129.99920000002</v>
      </c>
      <c r="H282" s="185">
        <f>3871*(B$7+1)*12</f>
        <v>49703.64</v>
      </c>
      <c r="I282" s="185">
        <f t="shared" ref="I282:I284" si="246">700*12</f>
        <v>8400</v>
      </c>
      <c r="J282" s="198">
        <v>1926</v>
      </c>
      <c r="K282" s="194">
        <f t="shared" ref="K282" si="247">12900*12</f>
        <v>154800</v>
      </c>
      <c r="L282" s="185">
        <v>93</v>
      </c>
      <c r="M282" s="185">
        <f>(N282+I282+K282+F282)*0.01</f>
        <v>8187.6439000000018</v>
      </c>
      <c r="N282" s="185">
        <f>F282/12</f>
        <v>50428.030000000006</v>
      </c>
      <c r="O282" s="193"/>
    </row>
    <row r="283" spans="1:112" x14ac:dyDescent="0.2">
      <c r="A283" s="195" t="s">
        <v>776</v>
      </c>
      <c r="B283" s="213"/>
      <c r="C283" s="184" t="s">
        <v>70</v>
      </c>
      <c r="D283" s="184">
        <v>3</v>
      </c>
      <c r="E283" s="185">
        <f>SUM(F283:P283)</f>
        <v>912075.38430000003</v>
      </c>
      <c r="F283" s="185">
        <f>41937*(B$6+1)*12</f>
        <v>538471.08000000007</v>
      </c>
      <c r="G283" s="185">
        <f>F283*0.22</f>
        <v>118463.63760000002</v>
      </c>
      <c r="H283" s="185">
        <f t="shared" si="209"/>
        <v>49703.64</v>
      </c>
      <c r="I283" s="185">
        <f t="shared" si="210"/>
        <v>8400</v>
      </c>
      <c r="J283" s="198">
        <v>1926</v>
      </c>
      <c r="K283" s="185">
        <f>11900*12</f>
        <v>142800</v>
      </c>
      <c r="L283" s="185">
        <v>93</v>
      </c>
      <c r="M283" s="185">
        <f>(N283+I283+K283+F283)*0.01</f>
        <v>7345.4367000000002</v>
      </c>
      <c r="N283" s="185">
        <f>F283/12</f>
        <v>44872.590000000004</v>
      </c>
      <c r="O283" s="185"/>
    </row>
    <row r="284" spans="1:112" x14ac:dyDescent="0.2">
      <c r="A284" s="184" t="s">
        <v>367</v>
      </c>
      <c r="B284" s="213"/>
      <c r="C284" s="184" t="s">
        <v>32</v>
      </c>
      <c r="D284" s="184">
        <v>8</v>
      </c>
      <c r="E284" s="185">
        <f t="shared" ref="E284:E286" si="248">SUM(F284:P284)</f>
        <v>507499.31050000008</v>
      </c>
      <c r="F284" s="185">
        <f>21595*(B$6+1)*12</f>
        <v>277279.80000000005</v>
      </c>
      <c r="G284" s="185">
        <f>F284*0.22</f>
        <v>61001.556000000011</v>
      </c>
      <c r="H284" s="185">
        <f t="shared" ref="H284" si="249">3871*(B$7+1)*12</f>
        <v>49703.64</v>
      </c>
      <c r="I284" s="185">
        <f t="shared" si="246"/>
        <v>8400</v>
      </c>
      <c r="J284" s="198">
        <v>1926</v>
      </c>
      <c r="K284" s="185">
        <f>6840*12</f>
        <v>82080</v>
      </c>
      <c r="L284" s="185">
        <v>93</v>
      </c>
      <c r="M284" s="185">
        <f>(N284+I284+K284+F284)*0.01</f>
        <v>3908.6645000000008</v>
      </c>
      <c r="N284" s="185">
        <f>F284/12</f>
        <v>23106.650000000005</v>
      </c>
      <c r="O284" s="185"/>
    </row>
    <row r="285" spans="1:112" x14ac:dyDescent="0.2">
      <c r="A285" s="195"/>
      <c r="C285" s="195"/>
      <c r="E285" s="185">
        <f t="shared" si="248"/>
        <v>0</v>
      </c>
      <c r="F285" s="185"/>
      <c r="G285" s="185"/>
      <c r="H285" s="185"/>
      <c r="I285" s="185"/>
      <c r="J285" s="198"/>
      <c r="K285" s="185"/>
      <c r="L285" s="185"/>
      <c r="M285" s="185"/>
      <c r="N285" s="185"/>
      <c r="O285" s="185"/>
    </row>
    <row r="286" spans="1:112" x14ac:dyDescent="0.2">
      <c r="A286" s="195" t="s">
        <v>329</v>
      </c>
      <c r="C286" s="195"/>
      <c r="E286" s="185">
        <f t="shared" si="248"/>
        <v>0</v>
      </c>
      <c r="F286" s="185"/>
      <c r="G286" s="185"/>
      <c r="H286" s="185"/>
      <c r="I286" s="185"/>
      <c r="J286" s="198"/>
      <c r="K286" s="185"/>
      <c r="L286" s="185"/>
      <c r="M286" s="185"/>
      <c r="N286" s="185"/>
      <c r="O286" s="185"/>
    </row>
    <row r="287" spans="1:112" x14ac:dyDescent="0.2">
      <c r="C287" s="184" t="s">
        <v>164</v>
      </c>
      <c r="E287" s="185">
        <f t="shared" ref="E287" si="250">SUM(F287:P287)</f>
        <v>8500</v>
      </c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>
        <v>8500</v>
      </c>
    </row>
    <row r="288" spans="1:112" ht="13.5" thickBot="1" x14ac:dyDescent="0.25">
      <c r="E288" s="205">
        <f t="shared" ref="E288:N288" si="251">SUM(E282:E287)</f>
        <v>2439879.3679000004</v>
      </c>
      <c r="F288" s="205">
        <f t="shared" si="251"/>
        <v>1420887.2400000002</v>
      </c>
      <c r="G288" s="205">
        <f t="shared" si="251"/>
        <v>312595.19280000008</v>
      </c>
      <c r="H288" s="205">
        <f t="shared" si="251"/>
        <v>149110.91999999998</v>
      </c>
      <c r="I288" s="205">
        <f t="shared" si="251"/>
        <v>25200</v>
      </c>
      <c r="J288" s="205">
        <f t="shared" si="251"/>
        <v>5778</v>
      </c>
      <c r="K288" s="205">
        <f t="shared" si="251"/>
        <v>379680</v>
      </c>
      <c r="L288" s="205">
        <f t="shared" si="251"/>
        <v>279</v>
      </c>
      <c r="M288" s="205">
        <f t="shared" si="251"/>
        <v>19441.7451</v>
      </c>
      <c r="N288" s="205">
        <f t="shared" si="251"/>
        <v>118407.27000000002</v>
      </c>
      <c r="O288" s="208"/>
    </row>
    <row r="289" spans="1:112" ht="13.5" thickTop="1" x14ac:dyDescent="0.2">
      <c r="C289" s="184" t="s">
        <v>199</v>
      </c>
      <c r="D289" s="184">
        <f>COUNT(D279:D288)</f>
        <v>3</v>
      </c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</row>
    <row r="290" spans="1:112" x14ac:dyDescent="0.2"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</row>
    <row r="291" spans="1:112" x14ac:dyDescent="0.2">
      <c r="A291" s="236" t="s">
        <v>221</v>
      </c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</row>
    <row r="292" spans="1:112" x14ac:dyDescent="0.2">
      <c r="C292" s="184" t="s">
        <v>176</v>
      </c>
      <c r="D292" s="184" t="s">
        <v>177</v>
      </c>
      <c r="E292" s="193" t="s">
        <v>178</v>
      </c>
      <c r="F292" s="193" t="s">
        <v>179</v>
      </c>
      <c r="G292" s="193" t="s">
        <v>180</v>
      </c>
      <c r="H292" s="193" t="s">
        <v>181</v>
      </c>
      <c r="I292" s="193" t="s">
        <v>182</v>
      </c>
      <c r="J292" s="193" t="s">
        <v>183</v>
      </c>
      <c r="K292" s="193" t="s">
        <v>184</v>
      </c>
      <c r="L292" s="193" t="s">
        <v>185</v>
      </c>
      <c r="M292" s="193" t="s">
        <v>186</v>
      </c>
      <c r="N292" s="193" t="s">
        <v>187</v>
      </c>
      <c r="O292" s="193" t="s">
        <v>372</v>
      </c>
      <c r="P292" s="185" t="s">
        <v>164</v>
      </c>
    </row>
    <row r="293" spans="1:112" x14ac:dyDescent="0.2">
      <c r="D293" s="184" t="s">
        <v>188</v>
      </c>
      <c r="E293" s="193" t="s">
        <v>189</v>
      </c>
      <c r="F293" s="185"/>
      <c r="G293" s="193" t="s">
        <v>190</v>
      </c>
      <c r="H293" s="193" t="s">
        <v>190</v>
      </c>
      <c r="I293" s="193" t="s">
        <v>191</v>
      </c>
      <c r="J293" s="185"/>
      <c r="K293" s="193" t="s">
        <v>192</v>
      </c>
      <c r="L293" s="193" t="s">
        <v>193</v>
      </c>
      <c r="M293" s="193" t="s">
        <v>194</v>
      </c>
      <c r="N293" s="193" t="s">
        <v>195</v>
      </c>
      <c r="O293" s="193" t="s">
        <v>192</v>
      </c>
    </row>
    <row r="294" spans="1:112" x14ac:dyDescent="0.2"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</row>
    <row r="295" spans="1:112" x14ac:dyDescent="0.2">
      <c r="A295" s="210" t="s">
        <v>136</v>
      </c>
      <c r="C295" s="195" t="s">
        <v>548</v>
      </c>
      <c r="D295" s="184">
        <v>0</v>
      </c>
      <c r="E295" s="185">
        <f>SUM(F295:P295)</f>
        <v>1698656.5182</v>
      </c>
      <c r="F295" s="185">
        <f>83607*(B$6+1)*12</f>
        <v>1073513.8800000001</v>
      </c>
      <c r="G295" s="185">
        <f>79569+(79569*9.5%)</f>
        <v>87128.054999999993</v>
      </c>
      <c r="H295" s="185">
        <f>3871*(B$7+1)*12</f>
        <v>49703.64</v>
      </c>
      <c r="I295" s="185">
        <f>0*12</f>
        <v>0</v>
      </c>
      <c r="J295" s="198">
        <v>1926</v>
      </c>
      <c r="K295" s="194">
        <f>28000*12</f>
        <v>336000</v>
      </c>
      <c r="L295" s="185">
        <v>93</v>
      </c>
      <c r="M295" s="185">
        <v>0</v>
      </c>
      <c r="N295" s="185">
        <f>F295*0.14</f>
        <v>150291.94320000004</v>
      </c>
      <c r="O295" s="185"/>
    </row>
    <row r="296" spans="1:112" x14ac:dyDescent="0.2">
      <c r="A296" s="195" t="s">
        <v>397</v>
      </c>
      <c r="C296" s="195" t="s">
        <v>398</v>
      </c>
      <c r="D296" s="184">
        <v>5</v>
      </c>
      <c r="E296" s="185">
        <f t="shared" ref="E296" si="252">SUM(F296:P296)</f>
        <v>596779.78610000003</v>
      </c>
      <c r="F296" s="185">
        <f>31799*(B$6+1)*12</f>
        <v>408299.16000000003</v>
      </c>
      <c r="G296" s="185">
        <f t="shared" ref="G296" si="253">F296*0.22</f>
        <v>89825.815200000012</v>
      </c>
      <c r="H296" s="185">
        <f t="shared" ref="H296:H323" si="254">3871*(B$7+1)*12</f>
        <v>49703.64</v>
      </c>
      <c r="I296" s="185">
        <f t="shared" ref="I296" si="255">700*12</f>
        <v>8400</v>
      </c>
      <c r="J296" s="198">
        <v>1926</v>
      </c>
      <c r="K296" s="185"/>
      <c r="L296" s="185">
        <v>93</v>
      </c>
      <c r="M296" s="185">
        <f t="shared" ref="M296:M297" si="256">(N296+I296+K296+F296)*0.01</f>
        <v>4507.2409000000007</v>
      </c>
      <c r="N296" s="185">
        <f>F296/12</f>
        <v>34024.93</v>
      </c>
      <c r="O296" s="185"/>
    </row>
    <row r="297" spans="1:112" s="203" customFormat="1" x14ac:dyDescent="0.2">
      <c r="A297" s="211" t="s">
        <v>549</v>
      </c>
      <c r="B297" s="200"/>
      <c r="C297" s="200" t="s">
        <v>34</v>
      </c>
      <c r="D297" s="200">
        <v>0</v>
      </c>
      <c r="E297" s="201">
        <f>SUM(F297:P297)</f>
        <v>0</v>
      </c>
      <c r="F297" s="201">
        <v>0</v>
      </c>
      <c r="G297" s="201">
        <v>0</v>
      </c>
      <c r="H297" s="201">
        <v>0</v>
      </c>
      <c r="I297" s="201">
        <v>0</v>
      </c>
      <c r="J297" s="202">
        <v>0</v>
      </c>
      <c r="K297" s="194">
        <v>0</v>
      </c>
      <c r="L297" s="201">
        <v>0</v>
      </c>
      <c r="M297" s="201">
        <f t="shared" si="256"/>
        <v>0</v>
      </c>
      <c r="N297" s="201">
        <f>F297/12</f>
        <v>0</v>
      </c>
      <c r="O297" s="201"/>
      <c r="P297" s="201"/>
      <c r="Q297" s="200"/>
      <c r="R297" s="200"/>
      <c r="S297" s="200"/>
      <c r="T297" s="200"/>
      <c r="U297" s="200"/>
      <c r="V297" s="200"/>
      <c r="W297" s="200"/>
      <c r="X297" s="200"/>
      <c r="Y297" s="200"/>
      <c r="Z297" s="200"/>
      <c r="AA297" s="200"/>
      <c r="AB297" s="200"/>
      <c r="AC297" s="200"/>
      <c r="AD297" s="200"/>
      <c r="AE297" s="200"/>
      <c r="AF297" s="200"/>
      <c r="AG297" s="200"/>
      <c r="AH297" s="200"/>
      <c r="AI297" s="200"/>
      <c r="AJ297" s="200"/>
      <c r="AK297" s="200"/>
      <c r="AL297" s="200"/>
      <c r="AM297" s="200"/>
      <c r="AN297" s="200"/>
      <c r="AO297" s="200"/>
      <c r="AP297" s="200"/>
      <c r="AQ297" s="200"/>
      <c r="AR297" s="200"/>
      <c r="AS297" s="200"/>
      <c r="AT297" s="200"/>
      <c r="AU297" s="200"/>
      <c r="AV297" s="200"/>
      <c r="AW297" s="200"/>
      <c r="AX297" s="200"/>
      <c r="AY297" s="200"/>
      <c r="AZ297" s="200"/>
      <c r="BA297" s="200"/>
      <c r="BB297" s="200"/>
      <c r="BC297" s="200"/>
      <c r="BD297" s="200"/>
      <c r="BE297" s="200"/>
      <c r="BF297" s="200"/>
      <c r="BG297" s="200"/>
      <c r="BH297" s="200"/>
      <c r="BI297" s="200"/>
      <c r="BJ297" s="200"/>
      <c r="BK297" s="200"/>
      <c r="BL297" s="200"/>
      <c r="BM297" s="200"/>
      <c r="BN297" s="200"/>
      <c r="BO297" s="200"/>
      <c r="BP297" s="200"/>
      <c r="BQ297" s="200"/>
      <c r="BR297" s="200"/>
      <c r="BS297" s="200"/>
      <c r="BT297" s="200"/>
      <c r="BU297" s="200"/>
      <c r="BV297" s="200"/>
      <c r="BW297" s="200"/>
      <c r="BX297" s="200"/>
      <c r="BY297" s="200"/>
      <c r="BZ297" s="200"/>
      <c r="CA297" s="200"/>
      <c r="CB297" s="200"/>
      <c r="CC297" s="200"/>
      <c r="CD297" s="200"/>
      <c r="CE297" s="200"/>
      <c r="CF297" s="200"/>
      <c r="CG297" s="200"/>
      <c r="CH297" s="200"/>
      <c r="CI297" s="200"/>
      <c r="CJ297" s="200"/>
      <c r="CK297" s="200"/>
      <c r="CL297" s="200"/>
      <c r="CM297" s="200"/>
      <c r="CN297" s="200"/>
      <c r="CO297" s="200"/>
      <c r="CP297" s="200"/>
      <c r="CQ297" s="200"/>
      <c r="CR297" s="200"/>
      <c r="CS297" s="200"/>
      <c r="CT297" s="200"/>
      <c r="CU297" s="200"/>
      <c r="CV297" s="200"/>
      <c r="CW297" s="200"/>
      <c r="CX297" s="200"/>
      <c r="CY297" s="200"/>
      <c r="CZ297" s="200"/>
      <c r="DA297" s="200"/>
      <c r="DB297" s="200"/>
      <c r="DC297" s="200"/>
      <c r="DD297" s="200"/>
      <c r="DE297" s="200"/>
      <c r="DF297" s="200"/>
      <c r="DG297" s="200"/>
      <c r="DH297" s="200"/>
    </row>
    <row r="298" spans="1:112" s="203" customFormat="1" x14ac:dyDescent="0.2">
      <c r="A298" s="211" t="s">
        <v>696</v>
      </c>
      <c r="B298" s="200"/>
      <c r="C298" s="200" t="s">
        <v>34</v>
      </c>
      <c r="D298" s="200">
        <v>8</v>
      </c>
      <c r="E298" s="201"/>
      <c r="F298" s="201"/>
      <c r="G298" s="201"/>
      <c r="H298" s="201"/>
      <c r="I298" s="201"/>
      <c r="J298" s="202"/>
      <c r="K298" s="201"/>
      <c r="L298" s="201"/>
      <c r="M298" s="201"/>
      <c r="N298" s="201"/>
      <c r="O298" s="201"/>
      <c r="P298" s="201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  <c r="AA298" s="200"/>
      <c r="AB298" s="200"/>
      <c r="AC298" s="200"/>
      <c r="AD298" s="200"/>
      <c r="AE298" s="200"/>
      <c r="AF298" s="200"/>
      <c r="AG298" s="200"/>
      <c r="AH298" s="200"/>
      <c r="AI298" s="200"/>
      <c r="AJ298" s="200"/>
      <c r="AK298" s="200"/>
      <c r="AL298" s="200"/>
      <c r="AM298" s="200"/>
      <c r="AN298" s="200"/>
      <c r="AO298" s="200"/>
      <c r="AP298" s="200"/>
      <c r="AQ298" s="200"/>
      <c r="AR298" s="200"/>
      <c r="AS298" s="200"/>
      <c r="AT298" s="200"/>
      <c r="AU298" s="200"/>
      <c r="AV298" s="200"/>
      <c r="AW298" s="200"/>
      <c r="AX298" s="200"/>
      <c r="AY298" s="200"/>
      <c r="AZ298" s="200"/>
      <c r="BA298" s="200"/>
      <c r="BB298" s="200"/>
      <c r="BC298" s="200"/>
      <c r="BD298" s="200"/>
      <c r="BE298" s="200"/>
      <c r="BF298" s="200"/>
      <c r="BG298" s="200"/>
      <c r="BH298" s="200"/>
      <c r="BI298" s="200"/>
      <c r="BJ298" s="200"/>
      <c r="BK298" s="200"/>
      <c r="BL298" s="200"/>
      <c r="BM298" s="200"/>
      <c r="BN298" s="200"/>
      <c r="BO298" s="200"/>
      <c r="BP298" s="200"/>
      <c r="BQ298" s="200"/>
      <c r="BR298" s="200"/>
      <c r="BS298" s="200"/>
      <c r="BT298" s="200"/>
      <c r="BU298" s="200"/>
      <c r="BV298" s="200"/>
      <c r="BW298" s="200"/>
      <c r="BX298" s="200"/>
      <c r="BY298" s="200"/>
      <c r="BZ298" s="200"/>
      <c r="CA298" s="200"/>
      <c r="CB298" s="200"/>
      <c r="CC298" s="200"/>
      <c r="CD298" s="200"/>
      <c r="CE298" s="200"/>
      <c r="CF298" s="200"/>
      <c r="CG298" s="200"/>
      <c r="CH298" s="200"/>
      <c r="CI298" s="200"/>
      <c r="CJ298" s="200"/>
      <c r="CK298" s="200"/>
      <c r="CL298" s="200"/>
      <c r="CM298" s="200"/>
      <c r="CN298" s="200"/>
      <c r="CO298" s="200"/>
      <c r="CP298" s="200"/>
      <c r="CQ298" s="200"/>
      <c r="CR298" s="200"/>
      <c r="CS298" s="200"/>
      <c r="CT298" s="200"/>
      <c r="CU298" s="200"/>
      <c r="CV298" s="200"/>
      <c r="CW298" s="200"/>
      <c r="CX298" s="200"/>
      <c r="CY298" s="200"/>
      <c r="CZ298" s="200"/>
      <c r="DA298" s="200"/>
      <c r="DB298" s="200"/>
      <c r="DC298" s="200"/>
      <c r="DD298" s="200"/>
      <c r="DE298" s="200"/>
      <c r="DF298" s="200"/>
      <c r="DG298" s="200"/>
      <c r="DH298" s="200"/>
    </row>
    <row r="299" spans="1:112" s="212" customFormat="1" x14ac:dyDescent="0.2">
      <c r="A299" s="195" t="s">
        <v>689</v>
      </c>
      <c r="B299" s="195"/>
      <c r="C299" s="184" t="s">
        <v>362</v>
      </c>
      <c r="D299" s="195">
        <v>2</v>
      </c>
      <c r="E299" s="185">
        <f t="shared" ref="E299" si="257">SUM(F299:P299)</f>
        <v>1011804.6731000001</v>
      </c>
      <c r="F299" s="185">
        <f>47129*(B$6+1)*12</f>
        <v>605136.3600000001</v>
      </c>
      <c r="G299" s="185">
        <f>F299*0.22</f>
        <v>133129.99920000002</v>
      </c>
      <c r="H299" s="185">
        <f t="shared" ref="H299" si="258">3871*(B$7+1)*12</f>
        <v>49703.64</v>
      </c>
      <c r="I299" s="185">
        <f t="shared" ref="I299:I317" si="259">700*12</f>
        <v>8400</v>
      </c>
      <c r="J299" s="198">
        <v>1926</v>
      </c>
      <c r="K299" s="194">
        <f t="shared" ref="K299:K303" si="260">12900*12</f>
        <v>154800</v>
      </c>
      <c r="L299" s="185">
        <v>93</v>
      </c>
      <c r="M299" s="185">
        <f>(N299+I299+K299+F299)*0.01</f>
        <v>8187.6439000000018</v>
      </c>
      <c r="N299" s="185">
        <f t="shared" ref="N299" si="261">F299/12</f>
        <v>50428.030000000006</v>
      </c>
      <c r="O299" s="194"/>
      <c r="P299" s="194"/>
      <c r="Q299" s="195"/>
      <c r="R299" s="195"/>
      <c r="S299" s="195"/>
      <c r="T299" s="195"/>
      <c r="U299" s="195"/>
      <c r="V299" s="195"/>
      <c r="W299" s="195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/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  <c r="AW299" s="195"/>
      <c r="AX299" s="195"/>
      <c r="AY299" s="195"/>
      <c r="AZ299" s="195"/>
      <c r="BA299" s="195"/>
      <c r="BB299" s="195"/>
      <c r="BC299" s="195"/>
      <c r="BD299" s="195"/>
      <c r="BE299" s="195"/>
      <c r="BF299" s="195"/>
      <c r="BG299" s="195"/>
      <c r="BH299" s="195"/>
      <c r="BI299" s="195"/>
      <c r="BJ299" s="195"/>
      <c r="BK299" s="195"/>
      <c r="BL299" s="195"/>
      <c r="BM299" s="195"/>
      <c r="BN299" s="195"/>
      <c r="BO299" s="195"/>
      <c r="BP299" s="195"/>
      <c r="BQ299" s="195"/>
      <c r="BR299" s="195"/>
      <c r="BS299" s="195"/>
      <c r="BT299" s="195"/>
      <c r="BU299" s="195"/>
      <c r="BV299" s="195"/>
      <c r="BW299" s="195"/>
      <c r="BX299" s="195"/>
      <c r="BY299" s="195"/>
      <c r="BZ299" s="195"/>
      <c r="CA299" s="195"/>
      <c r="CB299" s="195"/>
      <c r="CC299" s="195"/>
      <c r="CD299" s="195"/>
      <c r="CE299" s="195"/>
      <c r="CF299" s="195"/>
      <c r="CG299" s="195"/>
      <c r="CH299" s="195"/>
      <c r="CI299" s="195"/>
      <c r="CJ299" s="195"/>
      <c r="CK299" s="195"/>
      <c r="CL299" s="195"/>
      <c r="CM299" s="195"/>
      <c r="CN299" s="195"/>
      <c r="CO299" s="195"/>
      <c r="CP299" s="195"/>
      <c r="CQ299" s="195"/>
      <c r="CR299" s="195"/>
      <c r="CS299" s="195"/>
      <c r="CT299" s="195"/>
      <c r="CU299" s="195"/>
      <c r="CV299" s="195"/>
      <c r="CW299" s="195"/>
      <c r="CX299" s="195"/>
      <c r="CY299" s="195"/>
      <c r="CZ299" s="195"/>
      <c r="DA299" s="195"/>
      <c r="DB299" s="195"/>
      <c r="DC299" s="195"/>
      <c r="DD299" s="195"/>
      <c r="DE299" s="195"/>
      <c r="DF299" s="195"/>
      <c r="DG299" s="195"/>
      <c r="DH299" s="195"/>
    </row>
    <row r="300" spans="1:112" x14ac:dyDescent="0.2">
      <c r="A300" s="195" t="s">
        <v>686</v>
      </c>
      <c r="C300" s="184" t="s">
        <v>71</v>
      </c>
      <c r="D300" s="184">
        <v>2</v>
      </c>
      <c r="E300" s="185">
        <f t="shared" ref="E300" si="262">SUM(F300:P300)</f>
        <v>1011804.6731000001</v>
      </c>
      <c r="F300" s="185">
        <f>47129*(B$6+1)*12</f>
        <v>605136.3600000001</v>
      </c>
      <c r="G300" s="185">
        <f>F300*0.22</f>
        <v>133129.99920000002</v>
      </c>
      <c r="H300" s="185">
        <f t="shared" si="254"/>
        <v>49703.64</v>
      </c>
      <c r="I300" s="185">
        <f t="shared" si="259"/>
        <v>8400</v>
      </c>
      <c r="J300" s="198">
        <v>1926</v>
      </c>
      <c r="K300" s="194">
        <f t="shared" si="260"/>
        <v>154800</v>
      </c>
      <c r="L300" s="185">
        <v>93</v>
      </c>
      <c r="M300" s="185">
        <f>(N300+I300+K300+F300)*0.01</f>
        <v>8187.6439000000018</v>
      </c>
      <c r="N300" s="185">
        <f t="shared" ref="N300:N303" si="263">F300/12</f>
        <v>50428.030000000006</v>
      </c>
      <c r="O300" s="185"/>
    </row>
    <row r="301" spans="1:112" x14ac:dyDescent="0.2">
      <c r="A301" s="195" t="s">
        <v>688</v>
      </c>
      <c r="C301" s="195" t="s">
        <v>360</v>
      </c>
      <c r="D301" s="184">
        <v>2</v>
      </c>
      <c r="E301" s="185">
        <f t="shared" ref="E301" si="264">SUM(F301:P301)</f>
        <v>1011804.6731000001</v>
      </c>
      <c r="F301" s="185">
        <f>47129*(B$6+1)*12</f>
        <v>605136.3600000001</v>
      </c>
      <c r="G301" s="185">
        <f>F301*0.22</f>
        <v>133129.99920000002</v>
      </c>
      <c r="H301" s="185">
        <f t="shared" ref="H301" si="265">3871*(B$7+1)*12</f>
        <v>49703.64</v>
      </c>
      <c r="I301" s="185">
        <f t="shared" si="259"/>
        <v>8400</v>
      </c>
      <c r="J301" s="198">
        <v>1926</v>
      </c>
      <c r="K301" s="194">
        <f t="shared" si="260"/>
        <v>154800</v>
      </c>
      <c r="L301" s="185">
        <v>93</v>
      </c>
      <c r="M301" s="185">
        <f>(N301+I301+K301+F301)*0.01</f>
        <v>8187.6439000000018</v>
      </c>
      <c r="N301" s="185">
        <f t="shared" ref="N301" si="266">F301/12</f>
        <v>50428.030000000006</v>
      </c>
      <c r="O301" s="185"/>
    </row>
    <row r="302" spans="1:112" s="204" customFormat="1" x14ac:dyDescent="0.2">
      <c r="A302" s="195" t="s">
        <v>687</v>
      </c>
      <c r="B302" s="184"/>
      <c r="C302" s="184" t="s">
        <v>361</v>
      </c>
      <c r="D302" s="184">
        <v>2</v>
      </c>
      <c r="E302" s="185">
        <f t="shared" ref="E302:E303" si="267">SUM(F302:P302)</f>
        <v>1011804.6731000001</v>
      </c>
      <c r="F302" s="185">
        <f>47129*(B$6+1)*12</f>
        <v>605136.3600000001</v>
      </c>
      <c r="G302" s="185">
        <f t="shared" ref="G302:G303" si="268">F302*0.22</f>
        <v>133129.99920000002</v>
      </c>
      <c r="H302" s="185">
        <f t="shared" ref="H302:H303" si="269">3871*(B$7+1)*12</f>
        <v>49703.64</v>
      </c>
      <c r="I302" s="185">
        <f t="shared" si="259"/>
        <v>8400</v>
      </c>
      <c r="J302" s="198">
        <v>1926</v>
      </c>
      <c r="K302" s="194">
        <f t="shared" si="260"/>
        <v>154800</v>
      </c>
      <c r="L302" s="185">
        <v>93</v>
      </c>
      <c r="M302" s="185">
        <f>(N302+I302+K302+F302)*0.01</f>
        <v>8187.6439000000018</v>
      </c>
      <c r="N302" s="185">
        <f t="shared" si="263"/>
        <v>50428.030000000006</v>
      </c>
      <c r="O302" s="185"/>
      <c r="P302" s="185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4"/>
      <c r="AT302" s="184"/>
      <c r="AU302" s="184"/>
      <c r="AV302" s="184"/>
      <c r="AW302" s="184"/>
      <c r="AX302" s="184"/>
      <c r="AY302" s="184"/>
      <c r="AZ302" s="184"/>
      <c r="BA302" s="184"/>
      <c r="BB302" s="184"/>
      <c r="BC302" s="184"/>
      <c r="BD302" s="184"/>
      <c r="BE302" s="184"/>
      <c r="BF302" s="184"/>
      <c r="BG302" s="184"/>
      <c r="BH302" s="184"/>
      <c r="BI302" s="184"/>
      <c r="BJ302" s="184"/>
      <c r="BK302" s="184"/>
      <c r="BL302" s="184"/>
      <c r="BM302" s="184"/>
      <c r="BN302" s="184"/>
      <c r="BO302" s="184"/>
      <c r="BP302" s="184"/>
      <c r="BQ302" s="184"/>
      <c r="BR302" s="184"/>
      <c r="BS302" s="184"/>
      <c r="BT302" s="184"/>
      <c r="BU302" s="184"/>
      <c r="BV302" s="184"/>
      <c r="BW302" s="184"/>
      <c r="BX302" s="184"/>
      <c r="BY302" s="184"/>
      <c r="BZ302" s="184"/>
      <c r="CA302" s="184"/>
      <c r="CB302" s="184"/>
      <c r="CC302" s="184"/>
      <c r="CD302" s="184"/>
      <c r="CE302" s="184"/>
      <c r="CF302" s="184"/>
      <c r="CG302" s="184"/>
      <c r="CH302" s="184"/>
      <c r="CI302" s="184"/>
      <c r="CJ302" s="184"/>
      <c r="CK302" s="184"/>
      <c r="CL302" s="184"/>
      <c r="CM302" s="184"/>
      <c r="CN302" s="184"/>
      <c r="CO302" s="184"/>
      <c r="CP302" s="184"/>
      <c r="CQ302" s="184"/>
      <c r="CR302" s="184"/>
      <c r="CS302" s="184"/>
      <c r="CT302" s="184"/>
      <c r="CU302" s="184"/>
      <c r="CV302" s="184"/>
      <c r="CW302" s="184"/>
      <c r="CX302" s="184"/>
      <c r="CY302" s="184"/>
      <c r="CZ302" s="184"/>
      <c r="DA302" s="184"/>
      <c r="DB302" s="184"/>
      <c r="DC302" s="184"/>
      <c r="DD302" s="184"/>
      <c r="DE302" s="184"/>
      <c r="DF302" s="184"/>
      <c r="DG302" s="184"/>
      <c r="DH302" s="184"/>
    </row>
    <row r="303" spans="1:112" s="235" customFormat="1" x14ac:dyDescent="0.2">
      <c r="A303" s="235" t="s">
        <v>690</v>
      </c>
      <c r="C303" s="235" t="s">
        <v>290</v>
      </c>
      <c r="D303" s="235">
        <v>2</v>
      </c>
      <c r="E303" s="185">
        <f t="shared" si="267"/>
        <v>1011804.6731000001</v>
      </c>
      <c r="F303" s="185">
        <f>47129*(B$6+1)*12</f>
        <v>605136.3600000001</v>
      </c>
      <c r="G303" s="237">
        <f t="shared" si="268"/>
        <v>133129.99920000002</v>
      </c>
      <c r="H303" s="185">
        <f t="shared" si="269"/>
        <v>49703.64</v>
      </c>
      <c r="I303" s="185">
        <f t="shared" si="259"/>
        <v>8400</v>
      </c>
      <c r="J303" s="198">
        <v>1926</v>
      </c>
      <c r="K303" s="194">
        <f t="shared" si="260"/>
        <v>154800</v>
      </c>
      <c r="L303" s="185">
        <v>93</v>
      </c>
      <c r="M303" s="237">
        <f t="shared" ref="M303" si="270">(N303+I303+K303+F303)*0.01</f>
        <v>8187.6439000000018</v>
      </c>
      <c r="N303" s="237">
        <f t="shared" si="263"/>
        <v>50428.030000000006</v>
      </c>
      <c r="O303" s="237"/>
      <c r="P303" s="237"/>
    </row>
    <row r="304" spans="1:112" s="203" customFormat="1" x14ac:dyDescent="0.2">
      <c r="A304" s="200" t="s">
        <v>673</v>
      </c>
      <c r="B304" s="200"/>
      <c r="C304" s="200" t="s">
        <v>34</v>
      </c>
      <c r="D304" s="200">
        <v>2</v>
      </c>
      <c r="E304" s="201"/>
      <c r="F304" s="201"/>
      <c r="G304" s="201"/>
      <c r="H304" s="201"/>
      <c r="I304" s="201"/>
      <c r="J304" s="202"/>
      <c r="K304" s="201"/>
      <c r="L304" s="201"/>
      <c r="M304" s="201"/>
      <c r="N304" s="201"/>
      <c r="O304" s="201"/>
      <c r="P304" s="201"/>
      <c r="Q304" s="200"/>
      <c r="R304" s="200"/>
      <c r="S304" s="200"/>
      <c r="T304" s="200"/>
      <c r="U304" s="200"/>
      <c r="V304" s="200"/>
      <c r="W304" s="200"/>
      <c r="X304" s="200"/>
      <c r="Y304" s="200"/>
      <c r="Z304" s="200"/>
      <c r="AA304" s="200"/>
      <c r="AB304" s="200"/>
      <c r="AC304" s="200"/>
      <c r="AD304" s="200"/>
      <c r="AE304" s="200"/>
      <c r="AF304" s="200"/>
      <c r="AG304" s="200"/>
      <c r="AH304" s="200"/>
      <c r="AI304" s="200"/>
      <c r="AJ304" s="200"/>
      <c r="AK304" s="200"/>
      <c r="AL304" s="200"/>
      <c r="AM304" s="200"/>
      <c r="AN304" s="200"/>
      <c r="AO304" s="200"/>
      <c r="AP304" s="200"/>
      <c r="AQ304" s="200"/>
      <c r="AR304" s="200"/>
      <c r="AS304" s="200"/>
      <c r="AT304" s="200"/>
      <c r="AU304" s="200"/>
      <c r="AV304" s="200"/>
      <c r="AW304" s="200"/>
      <c r="AX304" s="200"/>
      <c r="AY304" s="200"/>
      <c r="AZ304" s="200"/>
      <c r="BA304" s="200"/>
      <c r="BB304" s="200"/>
      <c r="BC304" s="200"/>
      <c r="BD304" s="200"/>
      <c r="BE304" s="200"/>
      <c r="BF304" s="200"/>
      <c r="BG304" s="200"/>
      <c r="BH304" s="200"/>
      <c r="BI304" s="200"/>
      <c r="BJ304" s="200"/>
      <c r="BK304" s="200"/>
      <c r="BL304" s="200"/>
      <c r="BM304" s="200"/>
      <c r="BN304" s="200"/>
      <c r="BO304" s="200"/>
      <c r="BP304" s="200"/>
      <c r="BQ304" s="200"/>
      <c r="BR304" s="200"/>
      <c r="BS304" s="200"/>
      <c r="BT304" s="200"/>
      <c r="BU304" s="200"/>
      <c r="BV304" s="200"/>
      <c r="BW304" s="200"/>
      <c r="BX304" s="200"/>
      <c r="BY304" s="200"/>
      <c r="BZ304" s="200"/>
      <c r="CA304" s="200"/>
      <c r="CB304" s="200"/>
      <c r="CC304" s="200"/>
      <c r="CD304" s="200"/>
      <c r="CE304" s="200"/>
      <c r="CF304" s="200"/>
      <c r="CG304" s="200"/>
      <c r="CH304" s="200"/>
      <c r="CI304" s="200"/>
      <c r="CJ304" s="200"/>
      <c r="CK304" s="200"/>
      <c r="CL304" s="200"/>
      <c r="CM304" s="200"/>
      <c r="CN304" s="200"/>
      <c r="CO304" s="200"/>
      <c r="CP304" s="200"/>
      <c r="CQ304" s="200"/>
      <c r="CR304" s="200"/>
      <c r="CS304" s="200"/>
      <c r="CT304" s="200"/>
      <c r="CU304" s="200"/>
      <c r="CV304" s="200"/>
      <c r="CW304" s="200"/>
      <c r="CX304" s="200"/>
      <c r="CY304" s="200"/>
      <c r="CZ304" s="200"/>
      <c r="DA304" s="200"/>
      <c r="DB304" s="200"/>
      <c r="DC304" s="200"/>
      <c r="DD304" s="200"/>
      <c r="DE304" s="200"/>
      <c r="DF304" s="200"/>
      <c r="DG304" s="200"/>
      <c r="DH304" s="200"/>
    </row>
    <row r="305" spans="1:112" x14ac:dyDescent="0.2">
      <c r="A305" s="195" t="s">
        <v>394</v>
      </c>
      <c r="C305" s="195" t="s">
        <v>396</v>
      </c>
      <c r="D305" s="184">
        <v>5</v>
      </c>
      <c r="E305" s="185">
        <f t="shared" ref="E305" si="271">SUM(F305:P305)</f>
        <v>718949.3861</v>
      </c>
      <c r="F305" s="185">
        <f>31799*(B$6+1)*12</f>
        <v>408299.16000000003</v>
      </c>
      <c r="G305" s="185">
        <f t="shared" ref="G305" si="272">F305*0.22</f>
        <v>89825.815200000012</v>
      </c>
      <c r="H305" s="185">
        <f t="shared" si="254"/>
        <v>49703.64</v>
      </c>
      <c r="I305" s="185">
        <f t="shared" si="259"/>
        <v>8400</v>
      </c>
      <c r="J305" s="198">
        <v>1926</v>
      </c>
      <c r="K305" s="185">
        <f>10080*12</f>
        <v>120960</v>
      </c>
      <c r="L305" s="185">
        <v>93</v>
      </c>
      <c r="M305" s="185">
        <f t="shared" ref="M305" si="273">(N305+I305+K305+F305)*0.01</f>
        <v>5716.8409000000011</v>
      </c>
      <c r="N305" s="185">
        <f>F305/12</f>
        <v>34024.93</v>
      </c>
      <c r="O305" s="185"/>
    </row>
    <row r="306" spans="1:112" s="203" customFormat="1" x14ac:dyDescent="0.2">
      <c r="A306" s="200" t="s">
        <v>685</v>
      </c>
      <c r="B306" s="200"/>
      <c r="C306" s="200" t="s">
        <v>34</v>
      </c>
      <c r="D306" s="200">
        <v>5</v>
      </c>
      <c r="E306" s="201"/>
      <c r="F306" s="201"/>
      <c r="G306" s="201"/>
      <c r="H306" s="201"/>
      <c r="I306" s="201"/>
      <c r="J306" s="202"/>
      <c r="K306" s="201"/>
      <c r="L306" s="201"/>
      <c r="M306" s="201"/>
      <c r="N306" s="201"/>
      <c r="O306" s="201"/>
      <c r="P306" s="201"/>
      <c r="Q306" s="200"/>
      <c r="R306" s="200"/>
      <c r="S306" s="200"/>
      <c r="T306" s="200"/>
      <c r="U306" s="200"/>
      <c r="V306" s="200"/>
      <c r="W306" s="200"/>
      <c r="X306" s="200"/>
      <c r="Y306" s="200"/>
      <c r="Z306" s="200"/>
      <c r="AA306" s="200"/>
      <c r="AB306" s="200"/>
      <c r="AC306" s="200"/>
      <c r="AD306" s="200"/>
      <c r="AE306" s="200"/>
      <c r="AF306" s="200"/>
      <c r="AG306" s="200"/>
      <c r="AH306" s="200"/>
      <c r="AI306" s="200"/>
      <c r="AJ306" s="200"/>
      <c r="AK306" s="200"/>
      <c r="AL306" s="200"/>
      <c r="AM306" s="200"/>
      <c r="AN306" s="200"/>
      <c r="AO306" s="200"/>
      <c r="AP306" s="200"/>
      <c r="AQ306" s="200"/>
      <c r="AR306" s="200"/>
      <c r="AS306" s="200"/>
      <c r="AT306" s="200"/>
      <c r="AU306" s="200"/>
      <c r="AV306" s="200"/>
      <c r="AW306" s="200"/>
      <c r="AX306" s="200"/>
      <c r="AY306" s="200"/>
      <c r="AZ306" s="200"/>
      <c r="BA306" s="200"/>
      <c r="BB306" s="200"/>
      <c r="BC306" s="200"/>
      <c r="BD306" s="200"/>
      <c r="BE306" s="200"/>
      <c r="BF306" s="200"/>
      <c r="BG306" s="200"/>
      <c r="BH306" s="200"/>
      <c r="BI306" s="200"/>
      <c r="BJ306" s="200"/>
      <c r="BK306" s="200"/>
      <c r="BL306" s="200"/>
      <c r="BM306" s="200"/>
      <c r="BN306" s="200"/>
      <c r="BO306" s="200"/>
      <c r="BP306" s="200"/>
      <c r="BQ306" s="200"/>
      <c r="BR306" s="200"/>
      <c r="BS306" s="200"/>
      <c r="BT306" s="200"/>
      <c r="BU306" s="200"/>
      <c r="BV306" s="200"/>
      <c r="BW306" s="200"/>
      <c r="BX306" s="200"/>
      <c r="BY306" s="200"/>
      <c r="BZ306" s="200"/>
      <c r="CA306" s="200"/>
      <c r="CB306" s="200"/>
      <c r="CC306" s="200"/>
      <c r="CD306" s="200"/>
      <c r="CE306" s="200"/>
      <c r="CF306" s="200"/>
      <c r="CG306" s="200"/>
      <c r="CH306" s="200"/>
      <c r="CI306" s="200"/>
      <c r="CJ306" s="200"/>
      <c r="CK306" s="200"/>
      <c r="CL306" s="200"/>
      <c r="CM306" s="200"/>
      <c r="CN306" s="200"/>
      <c r="CO306" s="200"/>
      <c r="CP306" s="200"/>
      <c r="CQ306" s="200"/>
      <c r="CR306" s="200"/>
      <c r="CS306" s="200"/>
      <c r="CT306" s="200"/>
      <c r="CU306" s="200"/>
      <c r="CV306" s="200"/>
      <c r="CW306" s="200"/>
      <c r="CX306" s="200"/>
      <c r="CY306" s="200"/>
      <c r="CZ306" s="200"/>
      <c r="DA306" s="200"/>
      <c r="DB306" s="200"/>
      <c r="DC306" s="200"/>
      <c r="DD306" s="200"/>
      <c r="DE306" s="200"/>
      <c r="DF306" s="200"/>
      <c r="DG306" s="200"/>
      <c r="DH306" s="200"/>
    </row>
    <row r="307" spans="1:112" x14ac:dyDescent="0.2">
      <c r="A307" s="195" t="s">
        <v>683</v>
      </c>
      <c r="C307" s="184" t="s">
        <v>536</v>
      </c>
      <c r="D307" s="184">
        <v>8</v>
      </c>
      <c r="E307" s="185">
        <f t="shared" ref="E307" si="274">SUM(F307:P307)</f>
        <v>531012.11050000007</v>
      </c>
      <c r="F307" s="185">
        <f>21595*(B$6+1)*12</f>
        <v>277279.80000000005</v>
      </c>
      <c r="G307" s="185">
        <f t="shared" ref="G307" si="275">F307*0.22</f>
        <v>61001.556000000011</v>
      </c>
      <c r="H307" s="185">
        <f t="shared" ref="H307" si="276">3871*(B$7+1)*12</f>
        <v>49703.64</v>
      </c>
      <c r="I307" s="185">
        <f t="shared" ref="I307" si="277">700*12</f>
        <v>8400</v>
      </c>
      <c r="J307" s="198">
        <v>1926</v>
      </c>
      <c r="K307" s="185">
        <f t="shared" ref="K307" si="278">8780*12</f>
        <v>105360</v>
      </c>
      <c r="L307" s="185">
        <v>93</v>
      </c>
      <c r="M307" s="185">
        <f t="shared" ref="M307" si="279">(N307+I307+K307+F307)*0.01</f>
        <v>4141.464500000001</v>
      </c>
      <c r="N307" s="185">
        <f t="shared" ref="N307" si="280">F307/12</f>
        <v>23106.650000000005</v>
      </c>
      <c r="O307" s="185"/>
    </row>
    <row r="308" spans="1:112" s="212" customFormat="1" x14ac:dyDescent="0.2">
      <c r="A308" s="195" t="s">
        <v>486</v>
      </c>
      <c r="B308" s="195"/>
      <c r="C308" s="195" t="s">
        <v>524</v>
      </c>
      <c r="D308" s="195">
        <v>8</v>
      </c>
      <c r="E308" s="194">
        <f t="shared" ref="E308" si="281">SUM(F308:P308)</f>
        <v>390074.5111</v>
      </c>
      <c r="F308" s="194">
        <f>19549*(B$6+1)*12</f>
        <v>251009.16</v>
      </c>
      <c r="G308" s="194">
        <f t="shared" ref="G308" si="282">F308*0.22</f>
        <v>55222.015200000002</v>
      </c>
      <c r="H308" s="185">
        <f t="shared" si="254"/>
        <v>49703.64</v>
      </c>
      <c r="I308" s="194">
        <f t="shared" si="259"/>
        <v>8400</v>
      </c>
      <c r="J308" s="209">
        <v>1926</v>
      </c>
      <c r="K308" s="194"/>
      <c r="L308" s="194">
        <v>93</v>
      </c>
      <c r="M308" s="194">
        <f>(N308+I308+K308+F308)*0.01</f>
        <v>2803.2659000000003</v>
      </c>
      <c r="N308" s="194">
        <f t="shared" ref="N308" si="283">F308/12</f>
        <v>20917.43</v>
      </c>
      <c r="O308" s="194"/>
      <c r="P308" s="194"/>
      <c r="Q308" s="195"/>
      <c r="R308" s="195"/>
      <c r="S308" s="195"/>
      <c r="T308" s="195"/>
      <c r="U308" s="195"/>
      <c r="V308" s="195"/>
      <c r="W308" s="195"/>
      <c r="X308" s="195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  <c r="AW308" s="195"/>
      <c r="AX308" s="195"/>
      <c r="AY308" s="195"/>
      <c r="AZ308" s="195"/>
      <c r="BA308" s="195"/>
      <c r="BB308" s="195"/>
      <c r="BC308" s="195"/>
      <c r="BD308" s="195"/>
      <c r="BE308" s="195"/>
      <c r="BF308" s="195"/>
      <c r="BG308" s="195"/>
      <c r="BH308" s="195"/>
      <c r="BI308" s="195"/>
      <c r="BJ308" s="195"/>
      <c r="BK308" s="195"/>
      <c r="BL308" s="195"/>
      <c r="BM308" s="195"/>
      <c r="BN308" s="195"/>
      <c r="BO308" s="195"/>
      <c r="BP308" s="195"/>
      <c r="BQ308" s="195"/>
      <c r="BR308" s="195"/>
      <c r="BS308" s="195"/>
      <c r="BT308" s="195"/>
      <c r="BU308" s="195"/>
      <c r="BV308" s="195"/>
      <c r="BW308" s="195"/>
      <c r="BX308" s="195"/>
      <c r="BY308" s="195"/>
      <c r="BZ308" s="195"/>
      <c r="CA308" s="195"/>
      <c r="CB308" s="195"/>
      <c r="CC308" s="195"/>
      <c r="CD308" s="195"/>
      <c r="CE308" s="195"/>
      <c r="CF308" s="195"/>
      <c r="CG308" s="195"/>
      <c r="CH308" s="195"/>
      <c r="CI308" s="195"/>
      <c r="CJ308" s="195"/>
      <c r="CK308" s="195"/>
      <c r="CL308" s="195"/>
      <c r="CM308" s="195"/>
      <c r="CN308" s="195"/>
      <c r="CO308" s="195"/>
      <c r="CP308" s="195"/>
      <c r="CQ308" s="195"/>
      <c r="CR308" s="195"/>
      <c r="CS308" s="195"/>
      <c r="CT308" s="195"/>
      <c r="CU308" s="195"/>
      <c r="CV308" s="195"/>
      <c r="CW308" s="195"/>
      <c r="CX308" s="195"/>
      <c r="CY308" s="195"/>
      <c r="CZ308" s="195"/>
      <c r="DA308" s="195"/>
      <c r="DB308" s="195"/>
      <c r="DC308" s="195"/>
      <c r="DD308" s="195"/>
      <c r="DE308" s="195"/>
      <c r="DF308" s="195"/>
      <c r="DG308" s="195"/>
      <c r="DH308" s="195"/>
    </row>
    <row r="309" spans="1:112" s="204" customFormat="1" x14ac:dyDescent="0.2">
      <c r="A309" s="195" t="s">
        <v>691</v>
      </c>
      <c r="B309" s="184"/>
      <c r="C309" s="184" t="s">
        <v>419</v>
      </c>
      <c r="D309" s="235">
        <v>3</v>
      </c>
      <c r="E309" s="185">
        <f t="shared" ref="E309" si="284">SUM(F309:P309)</f>
        <v>912075.38430000003</v>
      </c>
      <c r="F309" s="185">
        <f>41937*(B$6+1)*12</f>
        <v>538471.08000000007</v>
      </c>
      <c r="G309" s="185">
        <f>F309*0.22</f>
        <v>118463.63760000002</v>
      </c>
      <c r="H309" s="185">
        <f t="shared" si="254"/>
        <v>49703.64</v>
      </c>
      <c r="I309" s="185">
        <f t="shared" si="259"/>
        <v>8400</v>
      </c>
      <c r="J309" s="198">
        <v>1926</v>
      </c>
      <c r="K309" s="185">
        <f>11900*12</f>
        <v>142800</v>
      </c>
      <c r="L309" s="185">
        <v>93</v>
      </c>
      <c r="M309" s="185">
        <f t="shared" ref="M309" si="285">(N309+I309+K309+F309)*0.01</f>
        <v>7345.4367000000002</v>
      </c>
      <c r="N309" s="185">
        <f>F309/12</f>
        <v>44872.590000000004</v>
      </c>
      <c r="O309" s="185"/>
      <c r="P309" s="185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  <c r="AR309" s="184"/>
      <c r="AS309" s="184"/>
      <c r="AT309" s="184"/>
      <c r="AU309" s="184"/>
      <c r="AV309" s="184"/>
      <c r="AW309" s="184"/>
      <c r="AX309" s="184"/>
      <c r="AY309" s="184"/>
      <c r="AZ309" s="184"/>
      <c r="BA309" s="184"/>
      <c r="BB309" s="184"/>
      <c r="BC309" s="184"/>
      <c r="BD309" s="184"/>
      <c r="BE309" s="184"/>
      <c r="BF309" s="184"/>
      <c r="BG309" s="184"/>
      <c r="BH309" s="184"/>
      <c r="BI309" s="184"/>
      <c r="BJ309" s="184"/>
      <c r="BK309" s="184"/>
      <c r="BL309" s="184"/>
      <c r="BM309" s="184"/>
      <c r="BN309" s="184"/>
      <c r="BO309" s="184"/>
      <c r="BP309" s="184"/>
      <c r="BQ309" s="184"/>
      <c r="BR309" s="184"/>
      <c r="BS309" s="184"/>
      <c r="BT309" s="184"/>
      <c r="BU309" s="184"/>
      <c r="BV309" s="184"/>
      <c r="BW309" s="184"/>
      <c r="BX309" s="184"/>
      <c r="BY309" s="184"/>
      <c r="BZ309" s="184"/>
      <c r="CA309" s="184"/>
      <c r="CB309" s="184"/>
      <c r="CC309" s="184"/>
      <c r="CD309" s="184"/>
      <c r="CE309" s="184"/>
      <c r="CF309" s="184"/>
      <c r="CG309" s="184"/>
      <c r="CH309" s="184"/>
      <c r="CI309" s="184"/>
      <c r="CJ309" s="184"/>
      <c r="CK309" s="184"/>
      <c r="CL309" s="184"/>
      <c r="CM309" s="184"/>
      <c r="CN309" s="184"/>
      <c r="CO309" s="184"/>
      <c r="CP309" s="184"/>
      <c r="CQ309" s="184"/>
      <c r="CR309" s="184"/>
      <c r="CS309" s="184"/>
      <c r="CT309" s="184"/>
      <c r="CU309" s="184"/>
      <c r="CV309" s="184"/>
      <c r="CW309" s="184"/>
      <c r="CX309" s="184"/>
      <c r="CY309" s="184"/>
      <c r="CZ309" s="184"/>
      <c r="DA309" s="184"/>
      <c r="DB309" s="184"/>
      <c r="DC309" s="184"/>
      <c r="DD309" s="184"/>
      <c r="DE309" s="184"/>
      <c r="DF309" s="184"/>
      <c r="DG309" s="184"/>
      <c r="DH309" s="184"/>
    </row>
    <row r="310" spans="1:112" s="204" customFormat="1" x14ac:dyDescent="0.2">
      <c r="A310" s="195" t="s">
        <v>692</v>
      </c>
      <c r="B310" s="184"/>
      <c r="C310" s="184" t="s">
        <v>418</v>
      </c>
      <c r="D310" s="235">
        <v>3</v>
      </c>
      <c r="E310" s="185">
        <f t="shared" ref="E310" si="286">SUM(F310:P310)</f>
        <v>912075.38430000003</v>
      </c>
      <c r="F310" s="185">
        <f>41937*(B$6+1)*12</f>
        <v>538471.08000000007</v>
      </c>
      <c r="G310" s="185">
        <f>F310*0.22</f>
        <v>118463.63760000002</v>
      </c>
      <c r="H310" s="185">
        <f t="shared" si="254"/>
        <v>49703.64</v>
      </c>
      <c r="I310" s="185">
        <f t="shared" si="259"/>
        <v>8400</v>
      </c>
      <c r="J310" s="198">
        <v>1926</v>
      </c>
      <c r="K310" s="185">
        <f t="shared" ref="K310:K311" si="287">11900*12</f>
        <v>142800</v>
      </c>
      <c r="L310" s="185">
        <v>93</v>
      </c>
      <c r="M310" s="185">
        <f t="shared" ref="M310" si="288">(N310+I310+K310+F310)*0.01</f>
        <v>7345.4367000000002</v>
      </c>
      <c r="N310" s="185">
        <f>F310/12</f>
        <v>44872.590000000004</v>
      </c>
      <c r="O310" s="185"/>
      <c r="P310" s="185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  <c r="AR310" s="184"/>
      <c r="AS310" s="184"/>
      <c r="AT310" s="184"/>
      <c r="AU310" s="184"/>
      <c r="AV310" s="184"/>
      <c r="AW310" s="184"/>
      <c r="AX310" s="184"/>
      <c r="AY310" s="184"/>
      <c r="AZ310" s="184"/>
      <c r="BA310" s="184"/>
      <c r="BB310" s="184"/>
      <c r="BC310" s="184"/>
      <c r="BD310" s="184"/>
      <c r="BE310" s="184"/>
      <c r="BF310" s="184"/>
      <c r="BG310" s="184"/>
      <c r="BH310" s="184"/>
      <c r="BI310" s="184"/>
      <c r="BJ310" s="184"/>
      <c r="BK310" s="184"/>
      <c r="BL310" s="184"/>
      <c r="BM310" s="184"/>
      <c r="BN310" s="184"/>
      <c r="BO310" s="184"/>
      <c r="BP310" s="184"/>
      <c r="BQ310" s="184"/>
      <c r="BR310" s="184"/>
      <c r="BS310" s="184"/>
      <c r="BT310" s="184"/>
      <c r="BU310" s="184"/>
      <c r="BV310" s="184"/>
      <c r="BW310" s="184"/>
      <c r="BX310" s="184"/>
      <c r="BY310" s="184"/>
      <c r="BZ310" s="184"/>
      <c r="CA310" s="184"/>
      <c r="CB310" s="184"/>
      <c r="CC310" s="184"/>
      <c r="CD310" s="184"/>
      <c r="CE310" s="184"/>
      <c r="CF310" s="184"/>
      <c r="CG310" s="184"/>
      <c r="CH310" s="184"/>
      <c r="CI310" s="184"/>
      <c r="CJ310" s="184"/>
      <c r="CK310" s="184"/>
      <c r="CL310" s="184"/>
      <c r="CM310" s="184"/>
      <c r="CN310" s="184"/>
      <c r="CO310" s="184"/>
      <c r="CP310" s="184"/>
      <c r="CQ310" s="184"/>
      <c r="CR310" s="184"/>
      <c r="CS310" s="184"/>
      <c r="CT310" s="184"/>
      <c r="CU310" s="184"/>
      <c r="CV310" s="184"/>
      <c r="CW310" s="184"/>
      <c r="CX310" s="184"/>
      <c r="CY310" s="184"/>
      <c r="CZ310" s="184"/>
      <c r="DA310" s="184"/>
      <c r="DB310" s="184"/>
      <c r="DC310" s="184"/>
      <c r="DD310" s="184"/>
      <c r="DE310" s="184"/>
      <c r="DF310" s="184"/>
      <c r="DG310" s="184"/>
      <c r="DH310" s="184"/>
    </row>
    <row r="311" spans="1:112" s="238" customFormat="1" x14ac:dyDescent="0.2">
      <c r="A311" s="195" t="s">
        <v>693</v>
      </c>
      <c r="B311" s="195"/>
      <c r="C311" s="195" t="s">
        <v>455</v>
      </c>
      <c r="D311" s="195">
        <v>3</v>
      </c>
      <c r="E311" s="194">
        <f t="shared" ref="E311" si="289">SUM(F311:P311)</f>
        <v>912075.38430000003</v>
      </c>
      <c r="F311" s="185">
        <f>41937*(B$6+1)*12</f>
        <v>538471.08000000007</v>
      </c>
      <c r="G311" s="194">
        <f>F311*0.22</f>
        <v>118463.63760000002</v>
      </c>
      <c r="H311" s="185">
        <f t="shared" si="254"/>
        <v>49703.64</v>
      </c>
      <c r="I311" s="185">
        <f t="shared" si="259"/>
        <v>8400</v>
      </c>
      <c r="J311" s="198">
        <v>1926</v>
      </c>
      <c r="K311" s="185">
        <f t="shared" si="287"/>
        <v>142800</v>
      </c>
      <c r="L311" s="185">
        <v>93</v>
      </c>
      <c r="M311" s="194">
        <f t="shared" ref="M311:M312" si="290">(N311+I311+K311+F311)*0.01</f>
        <v>7345.4367000000002</v>
      </c>
      <c r="N311" s="194">
        <f>F311/12</f>
        <v>44872.590000000004</v>
      </c>
      <c r="O311" s="194"/>
      <c r="P311" s="194"/>
      <c r="Q311" s="195"/>
      <c r="R311" s="195"/>
      <c r="S311" s="195"/>
      <c r="T311" s="195"/>
      <c r="U311" s="195"/>
      <c r="V311" s="195"/>
      <c r="W311" s="195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  <c r="AW311" s="195"/>
      <c r="AX311" s="195"/>
      <c r="AY311" s="195"/>
      <c r="AZ311" s="195"/>
      <c r="BA311" s="195"/>
      <c r="BB311" s="195"/>
      <c r="BC311" s="195"/>
      <c r="BD311" s="195"/>
      <c r="BE311" s="195"/>
      <c r="BF311" s="195"/>
      <c r="BG311" s="195"/>
      <c r="BH311" s="195"/>
      <c r="BI311" s="195"/>
      <c r="BJ311" s="195"/>
      <c r="BK311" s="195"/>
      <c r="BL311" s="195"/>
      <c r="BM311" s="195"/>
      <c r="BN311" s="195"/>
      <c r="BO311" s="195"/>
      <c r="BP311" s="195"/>
      <c r="BQ311" s="195"/>
      <c r="BR311" s="195"/>
      <c r="BS311" s="195"/>
      <c r="BT311" s="195"/>
      <c r="BU311" s="195"/>
      <c r="BV311" s="195"/>
      <c r="BW311" s="195"/>
      <c r="BX311" s="195"/>
      <c r="BY311" s="195"/>
      <c r="BZ311" s="195"/>
      <c r="CA311" s="195"/>
      <c r="CB311" s="195"/>
      <c r="CC311" s="195"/>
      <c r="CD311" s="195"/>
      <c r="CE311" s="195"/>
      <c r="CF311" s="195"/>
      <c r="CG311" s="195"/>
      <c r="CH311" s="195"/>
      <c r="CI311" s="195"/>
      <c r="CJ311" s="195"/>
      <c r="CK311" s="195"/>
      <c r="CL311" s="195"/>
      <c r="CM311" s="195"/>
      <c r="CN311" s="195"/>
      <c r="CO311" s="195"/>
      <c r="CP311" s="195"/>
      <c r="CQ311" s="195"/>
      <c r="CR311" s="195"/>
      <c r="CS311" s="195"/>
      <c r="CT311" s="195"/>
      <c r="CU311" s="195"/>
      <c r="CV311" s="195"/>
      <c r="CW311" s="195"/>
      <c r="CX311" s="195"/>
      <c r="CY311" s="195"/>
      <c r="CZ311" s="195"/>
      <c r="DA311" s="195"/>
      <c r="DB311" s="195"/>
      <c r="DC311" s="195"/>
      <c r="DD311" s="195"/>
      <c r="DE311" s="195"/>
      <c r="DF311" s="195"/>
      <c r="DG311" s="195"/>
      <c r="DH311" s="195"/>
    </row>
    <row r="312" spans="1:112" s="235" customFormat="1" x14ac:dyDescent="0.2">
      <c r="A312" s="235" t="s">
        <v>694</v>
      </c>
      <c r="C312" s="235" t="s">
        <v>73</v>
      </c>
      <c r="D312" s="235">
        <v>3</v>
      </c>
      <c r="E312" s="185">
        <f t="shared" ref="E312" si="291">SUM(F312:P312)</f>
        <v>912075.38430000003</v>
      </c>
      <c r="F312" s="185">
        <f>41937*(B$6+1)*12</f>
        <v>538471.08000000007</v>
      </c>
      <c r="G312" s="185">
        <f>F312*0.22</f>
        <v>118463.63760000002</v>
      </c>
      <c r="H312" s="185">
        <f t="shared" ref="H312" si="292">3871*(B$7+1)*12</f>
        <v>49703.64</v>
      </c>
      <c r="I312" s="185">
        <f t="shared" si="259"/>
        <v>8400</v>
      </c>
      <c r="J312" s="198">
        <v>1926</v>
      </c>
      <c r="K312" s="185">
        <f>11900*12</f>
        <v>142800</v>
      </c>
      <c r="L312" s="185">
        <v>93</v>
      </c>
      <c r="M312" s="194">
        <f t="shared" si="290"/>
        <v>7345.4367000000002</v>
      </c>
      <c r="N312" s="185">
        <f>F312/12</f>
        <v>44872.590000000004</v>
      </c>
      <c r="O312" s="185"/>
      <c r="P312" s="237"/>
    </row>
    <row r="313" spans="1:112" s="227" customFormat="1" x14ac:dyDescent="0.2">
      <c r="A313" s="200" t="s">
        <v>695</v>
      </c>
      <c r="B313" s="200"/>
      <c r="C313" s="200" t="s">
        <v>34</v>
      </c>
      <c r="D313" s="200">
        <v>3</v>
      </c>
      <c r="E313" s="201">
        <f t="shared" ref="E313" si="293">SUM(F313:P313)</f>
        <v>0</v>
      </c>
      <c r="F313" s="201">
        <v>0</v>
      </c>
      <c r="G313" s="201">
        <f>F313*0.22</f>
        <v>0</v>
      </c>
      <c r="H313" s="201">
        <v>0</v>
      </c>
      <c r="I313" s="201">
        <v>0</v>
      </c>
      <c r="J313" s="202">
        <v>0</v>
      </c>
      <c r="K313" s="201">
        <v>0</v>
      </c>
      <c r="L313" s="201">
        <v>0</v>
      </c>
      <c r="M313" s="201">
        <f t="shared" ref="M313" si="294">(N313+I313+K313+F313)*0.01</f>
        <v>0</v>
      </c>
      <c r="N313" s="201">
        <f>F313/12</f>
        <v>0</v>
      </c>
      <c r="O313" s="201"/>
      <c r="P313" s="201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  <c r="AA313" s="200"/>
      <c r="AB313" s="200"/>
      <c r="AC313" s="200"/>
      <c r="AD313" s="200"/>
      <c r="AE313" s="200"/>
      <c r="AF313" s="200"/>
      <c r="AG313" s="200"/>
      <c r="AH313" s="200"/>
      <c r="AI313" s="200"/>
      <c r="AJ313" s="200"/>
      <c r="AK313" s="200"/>
      <c r="AL313" s="200"/>
      <c r="AM313" s="200"/>
      <c r="AN313" s="200"/>
      <c r="AO313" s="200"/>
      <c r="AP313" s="200"/>
      <c r="AQ313" s="200"/>
      <c r="AR313" s="200"/>
      <c r="AS313" s="200"/>
      <c r="AT313" s="200"/>
      <c r="AU313" s="200"/>
      <c r="AV313" s="200"/>
      <c r="AW313" s="200"/>
      <c r="AX313" s="200"/>
      <c r="AY313" s="200"/>
      <c r="AZ313" s="200"/>
      <c r="BA313" s="200"/>
      <c r="BB313" s="200"/>
      <c r="BC313" s="200"/>
      <c r="BD313" s="200"/>
      <c r="BE313" s="200"/>
      <c r="BF313" s="200"/>
      <c r="BG313" s="200"/>
      <c r="BH313" s="200"/>
      <c r="BI313" s="200"/>
      <c r="BJ313" s="200"/>
      <c r="BK313" s="200"/>
      <c r="BL313" s="200"/>
      <c r="BM313" s="200"/>
      <c r="BN313" s="200"/>
      <c r="BO313" s="200"/>
      <c r="BP313" s="200"/>
      <c r="BQ313" s="200"/>
      <c r="BR313" s="200"/>
      <c r="BS313" s="200"/>
      <c r="BT313" s="200"/>
      <c r="BU313" s="200"/>
      <c r="BV313" s="200"/>
      <c r="BW313" s="200"/>
      <c r="BX313" s="200"/>
      <c r="BY313" s="200"/>
      <c r="BZ313" s="200"/>
      <c r="CA313" s="200"/>
      <c r="CB313" s="200"/>
      <c r="CC313" s="200"/>
      <c r="CD313" s="200"/>
      <c r="CE313" s="200"/>
      <c r="CF313" s="200"/>
      <c r="CG313" s="200"/>
      <c r="CH313" s="200"/>
      <c r="CI313" s="200"/>
      <c r="CJ313" s="200"/>
      <c r="CK313" s="200"/>
      <c r="CL313" s="200"/>
      <c r="CM313" s="200"/>
      <c r="CN313" s="200"/>
      <c r="CO313" s="200"/>
      <c r="CP313" s="200"/>
      <c r="CQ313" s="200"/>
      <c r="CR313" s="200"/>
      <c r="CS313" s="200"/>
      <c r="CT313" s="200"/>
      <c r="CU313" s="200"/>
      <c r="CV313" s="200"/>
      <c r="CW313" s="200"/>
      <c r="CX313" s="200"/>
      <c r="CY313" s="200"/>
      <c r="CZ313" s="200"/>
      <c r="DA313" s="200"/>
      <c r="DB313" s="200"/>
      <c r="DC313" s="200"/>
      <c r="DD313" s="200"/>
      <c r="DE313" s="200"/>
      <c r="DF313" s="200"/>
      <c r="DG313" s="200"/>
      <c r="DH313" s="200"/>
    </row>
    <row r="314" spans="1:112" s="227" customFormat="1" x14ac:dyDescent="0.2">
      <c r="A314" s="200" t="s">
        <v>695</v>
      </c>
      <c r="B314" s="200"/>
      <c r="C314" s="200" t="s">
        <v>34</v>
      </c>
      <c r="D314" s="200">
        <v>3</v>
      </c>
      <c r="E314" s="201"/>
      <c r="F314" s="201"/>
      <c r="G314" s="201"/>
      <c r="H314" s="201"/>
      <c r="I314" s="201"/>
      <c r="J314" s="202"/>
      <c r="K314" s="201"/>
      <c r="L314" s="201"/>
      <c r="M314" s="201"/>
      <c r="N314" s="201"/>
      <c r="O314" s="201"/>
      <c r="P314" s="201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  <c r="AA314" s="200"/>
      <c r="AB314" s="200"/>
      <c r="AC314" s="200"/>
      <c r="AD314" s="200"/>
      <c r="AE314" s="200"/>
      <c r="AF314" s="200"/>
      <c r="AG314" s="200"/>
      <c r="AH314" s="200"/>
      <c r="AI314" s="200"/>
      <c r="AJ314" s="200"/>
      <c r="AK314" s="200"/>
      <c r="AL314" s="200"/>
      <c r="AM314" s="200"/>
      <c r="AN314" s="200"/>
      <c r="AO314" s="200"/>
      <c r="AP314" s="200"/>
      <c r="AQ314" s="200"/>
      <c r="AR314" s="200"/>
      <c r="AS314" s="200"/>
      <c r="AT314" s="200"/>
      <c r="AU314" s="200"/>
      <c r="AV314" s="200"/>
      <c r="AW314" s="200"/>
      <c r="AX314" s="200"/>
      <c r="AY314" s="200"/>
      <c r="AZ314" s="200"/>
      <c r="BA314" s="200"/>
      <c r="BB314" s="200"/>
      <c r="BC314" s="200"/>
      <c r="BD314" s="200"/>
      <c r="BE314" s="200"/>
      <c r="BF314" s="200"/>
      <c r="BG314" s="200"/>
      <c r="BH314" s="200"/>
      <c r="BI314" s="200"/>
      <c r="BJ314" s="200"/>
      <c r="BK314" s="200"/>
      <c r="BL314" s="200"/>
      <c r="BM314" s="200"/>
      <c r="BN314" s="200"/>
      <c r="BO314" s="200"/>
      <c r="BP314" s="200"/>
      <c r="BQ314" s="200"/>
      <c r="BR314" s="200"/>
      <c r="BS314" s="200"/>
      <c r="BT314" s="200"/>
      <c r="BU314" s="200"/>
      <c r="BV314" s="200"/>
      <c r="BW314" s="200"/>
      <c r="BX314" s="200"/>
      <c r="BY314" s="200"/>
      <c r="BZ314" s="200"/>
      <c r="CA314" s="200"/>
      <c r="CB314" s="200"/>
      <c r="CC314" s="200"/>
      <c r="CD314" s="200"/>
      <c r="CE314" s="200"/>
      <c r="CF314" s="200"/>
      <c r="CG314" s="200"/>
      <c r="CH314" s="200"/>
      <c r="CI314" s="200"/>
      <c r="CJ314" s="200"/>
      <c r="CK314" s="200"/>
      <c r="CL314" s="200"/>
      <c r="CM314" s="200"/>
      <c r="CN314" s="200"/>
      <c r="CO314" s="200"/>
      <c r="CP314" s="200"/>
      <c r="CQ314" s="200"/>
      <c r="CR314" s="200"/>
      <c r="CS314" s="200"/>
      <c r="CT314" s="200"/>
      <c r="CU314" s="200"/>
      <c r="CV314" s="200"/>
      <c r="CW314" s="200"/>
      <c r="CX314" s="200"/>
      <c r="CY314" s="200"/>
      <c r="CZ314" s="200"/>
      <c r="DA314" s="200"/>
      <c r="DB314" s="200"/>
      <c r="DC314" s="200"/>
      <c r="DD314" s="200"/>
      <c r="DE314" s="200"/>
      <c r="DF314" s="200"/>
      <c r="DG314" s="200"/>
      <c r="DH314" s="200"/>
    </row>
    <row r="315" spans="1:112" s="212" customFormat="1" x14ac:dyDescent="0.2">
      <c r="A315" s="195" t="s">
        <v>698</v>
      </c>
      <c r="B315" s="195"/>
      <c r="C315" s="195" t="s">
        <v>335</v>
      </c>
      <c r="D315" s="195">
        <v>6</v>
      </c>
      <c r="E315" s="194">
        <f t="shared" ref="E315:E325" si="295">SUM(F315:P315)</f>
        <v>668108.32539999997</v>
      </c>
      <c r="F315" s="194">
        <f>28786*(B$6+1)*12</f>
        <v>369612.24</v>
      </c>
      <c r="G315" s="194">
        <f>F315*0.22</f>
        <v>81314.692800000004</v>
      </c>
      <c r="H315" s="185">
        <f t="shared" si="254"/>
        <v>49703.64</v>
      </c>
      <c r="I315" s="185">
        <f t="shared" si="259"/>
        <v>8400</v>
      </c>
      <c r="J315" s="198">
        <v>1926</v>
      </c>
      <c r="K315" s="194">
        <f>10080*12</f>
        <v>120960</v>
      </c>
      <c r="L315" s="185">
        <v>93</v>
      </c>
      <c r="M315" s="194">
        <f>(N315+I315+K315+F315)*0.01</f>
        <v>5297.7326000000003</v>
      </c>
      <c r="N315" s="194">
        <f>F315/12</f>
        <v>30801.02</v>
      </c>
      <c r="O315" s="194"/>
      <c r="P315" s="194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  <c r="AW315" s="195"/>
      <c r="AX315" s="195"/>
      <c r="AY315" s="195"/>
      <c r="AZ315" s="195"/>
      <c r="BA315" s="195"/>
      <c r="BB315" s="195"/>
      <c r="BC315" s="195"/>
      <c r="BD315" s="195"/>
      <c r="BE315" s="195"/>
      <c r="BF315" s="195"/>
      <c r="BG315" s="195"/>
      <c r="BH315" s="195"/>
      <c r="BI315" s="195"/>
      <c r="BJ315" s="195"/>
      <c r="BK315" s="195"/>
      <c r="BL315" s="195"/>
      <c r="BM315" s="195"/>
      <c r="BN315" s="195"/>
      <c r="BO315" s="195"/>
      <c r="BP315" s="195"/>
      <c r="BQ315" s="195"/>
      <c r="BR315" s="195"/>
      <c r="BS315" s="195"/>
      <c r="BT315" s="195"/>
      <c r="BU315" s="195"/>
      <c r="BV315" s="195"/>
      <c r="BW315" s="195"/>
      <c r="BX315" s="195"/>
      <c r="BY315" s="195"/>
      <c r="BZ315" s="195"/>
      <c r="CA315" s="195"/>
      <c r="CB315" s="195"/>
      <c r="CC315" s="195"/>
      <c r="CD315" s="195"/>
      <c r="CE315" s="195"/>
      <c r="CF315" s="195"/>
      <c r="CG315" s="195"/>
      <c r="CH315" s="195"/>
      <c r="CI315" s="195"/>
      <c r="CJ315" s="195"/>
      <c r="CK315" s="195"/>
      <c r="CL315" s="195"/>
      <c r="CM315" s="195"/>
      <c r="CN315" s="195"/>
      <c r="CO315" s="195"/>
      <c r="CP315" s="195"/>
      <c r="CQ315" s="195"/>
      <c r="CR315" s="195"/>
      <c r="CS315" s="195"/>
      <c r="CT315" s="195"/>
      <c r="CU315" s="195"/>
      <c r="CV315" s="195"/>
      <c r="CW315" s="195"/>
      <c r="CX315" s="195"/>
      <c r="CY315" s="195"/>
      <c r="CZ315" s="195"/>
      <c r="DA315" s="195"/>
      <c r="DB315" s="195"/>
      <c r="DC315" s="195"/>
      <c r="DD315" s="195"/>
      <c r="DE315" s="195"/>
      <c r="DF315" s="195"/>
      <c r="DG315" s="195"/>
      <c r="DH315" s="195"/>
    </row>
    <row r="316" spans="1:112" s="204" customFormat="1" x14ac:dyDescent="0.2">
      <c r="A316" s="195" t="s">
        <v>45</v>
      </c>
      <c r="B316" s="184"/>
      <c r="C316" s="184" t="s">
        <v>72</v>
      </c>
      <c r="D316" s="184">
        <v>5</v>
      </c>
      <c r="E316" s="185">
        <f t="shared" si="295"/>
        <v>715422.54520000005</v>
      </c>
      <c r="F316" s="185">
        <f>31799*(B$6+1)*12</f>
        <v>408299.16000000003</v>
      </c>
      <c r="G316" s="185">
        <f t="shared" ref="G316:G322" si="296">F316*0.22</f>
        <v>89825.815200000012</v>
      </c>
      <c r="H316" s="185">
        <f t="shared" si="254"/>
        <v>49703.64</v>
      </c>
      <c r="I316" s="185">
        <f t="shared" si="259"/>
        <v>8400</v>
      </c>
      <c r="J316" s="198">
        <v>1926</v>
      </c>
      <c r="K316" s="185">
        <f t="shared" ref="K316:K317" si="297">10080*12</f>
        <v>120960</v>
      </c>
      <c r="L316" s="185">
        <v>93</v>
      </c>
      <c r="M316" s="185">
        <v>2190</v>
      </c>
      <c r="N316" s="185">
        <f t="shared" ref="N316:N322" si="298">F316/12</f>
        <v>34024.93</v>
      </c>
      <c r="O316" s="185"/>
      <c r="P316" s="185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  <c r="AR316" s="184"/>
      <c r="AS316" s="184"/>
      <c r="AT316" s="184"/>
      <c r="AU316" s="184"/>
      <c r="AV316" s="184"/>
      <c r="AW316" s="184"/>
      <c r="AX316" s="184"/>
      <c r="AY316" s="184"/>
      <c r="AZ316" s="184"/>
      <c r="BA316" s="184"/>
      <c r="BB316" s="184"/>
      <c r="BC316" s="184"/>
      <c r="BD316" s="184"/>
      <c r="BE316" s="184"/>
      <c r="BF316" s="184"/>
      <c r="BG316" s="184"/>
      <c r="BH316" s="184"/>
      <c r="BI316" s="184"/>
      <c r="BJ316" s="184"/>
      <c r="BK316" s="184"/>
      <c r="BL316" s="184"/>
      <c r="BM316" s="184"/>
      <c r="BN316" s="184"/>
      <c r="BO316" s="184"/>
      <c r="BP316" s="184"/>
      <c r="BQ316" s="184"/>
      <c r="BR316" s="184"/>
      <c r="BS316" s="184"/>
      <c r="BT316" s="184"/>
      <c r="BU316" s="184"/>
      <c r="BV316" s="184"/>
      <c r="BW316" s="184"/>
      <c r="BX316" s="184"/>
      <c r="BY316" s="184"/>
      <c r="BZ316" s="184"/>
      <c r="CA316" s="184"/>
      <c r="CB316" s="184"/>
      <c r="CC316" s="184"/>
      <c r="CD316" s="184"/>
      <c r="CE316" s="184"/>
      <c r="CF316" s="184"/>
      <c r="CG316" s="184"/>
      <c r="CH316" s="184"/>
      <c r="CI316" s="184"/>
      <c r="CJ316" s="184"/>
      <c r="CK316" s="184"/>
      <c r="CL316" s="184"/>
      <c r="CM316" s="184"/>
      <c r="CN316" s="184"/>
      <c r="CO316" s="184"/>
      <c r="CP316" s="184"/>
      <c r="CQ316" s="184"/>
      <c r="CR316" s="184"/>
      <c r="CS316" s="184"/>
      <c r="CT316" s="184"/>
      <c r="CU316" s="184"/>
      <c r="CV316" s="184"/>
      <c r="CW316" s="184"/>
      <c r="CX316" s="184"/>
      <c r="CY316" s="184"/>
      <c r="CZ316" s="184"/>
      <c r="DA316" s="184"/>
      <c r="DB316" s="184"/>
      <c r="DC316" s="184"/>
      <c r="DD316" s="184"/>
      <c r="DE316" s="184"/>
      <c r="DF316" s="184"/>
      <c r="DG316" s="184"/>
      <c r="DH316" s="184"/>
    </row>
    <row r="317" spans="1:112" s="204" customFormat="1" x14ac:dyDescent="0.2">
      <c r="A317" s="195" t="s">
        <v>697</v>
      </c>
      <c r="B317" s="184"/>
      <c r="C317" s="195" t="s">
        <v>456</v>
      </c>
      <c r="D317" s="184">
        <v>5</v>
      </c>
      <c r="E317" s="185">
        <f t="shared" si="295"/>
        <v>917227.49840000016</v>
      </c>
      <c r="F317" s="185">
        <f>43858*(B$6+1)*12</f>
        <v>563136.72000000009</v>
      </c>
      <c r="G317" s="185">
        <f t="shared" si="296"/>
        <v>123890.07840000001</v>
      </c>
      <c r="H317" s="185">
        <f t="shared" si="254"/>
        <v>49703.64</v>
      </c>
      <c r="I317" s="185">
        <f t="shared" si="259"/>
        <v>8400</v>
      </c>
      <c r="J317" s="198">
        <v>1926</v>
      </c>
      <c r="K317" s="185">
        <f t="shared" si="297"/>
        <v>120960</v>
      </c>
      <c r="L317" s="185">
        <v>93</v>
      </c>
      <c r="M317" s="185">
        <v>2190</v>
      </c>
      <c r="N317" s="185">
        <f t="shared" si="298"/>
        <v>46928.060000000005</v>
      </c>
      <c r="O317" s="185"/>
      <c r="P317" s="185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84"/>
      <c r="AS317" s="184"/>
      <c r="AT317" s="184"/>
      <c r="AU317" s="184"/>
      <c r="AV317" s="184"/>
      <c r="AW317" s="184"/>
      <c r="AX317" s="184"/>
      <c r="AY317" s="184"/>
      <c r="AZ317" s="184"/>
      <c r="BA317" s="184"/>
      <c r="BB317" s="184"/>
      <c r="BC317" s="184"/>
      <c r="BD317" s="184"/>
      <c r="BE317" s="184"/>
      <c r="BF317" s="184"/>
      <c r="BG317" s="184"/>
      <c r="BH317" s="184"/>
      <c r="BI317" s="184"/>
      <c r="BJ317" s="184"/>
      <c r="BK317" s="184"/>
      <c r="BL317" s="184"/>
      <c r="BM317" s="184"/>
      <c r="BN317" s="184"/>
      <c r="BO317" s="184"/>
      <c r="BP317" s="184"/>
      <c r="BQ317" s="184"/>
      <c r="BR317" s="184"/>
      <c r="BS317" s="184"/>
      <c r="BT317" s="184"/>
      <c r="BU317" s="184"/>
      <c r="BV317" s="184"/>
      <c r="BW317" s="184"/>
      <c r="BX317" s="184"/>
      <c r="BY317" s="184"/>
      <c r="BZ317" s="184"/>
      <c r="CA317" s="184"/>
      <c r="CB317" s="184"/>
      <c r="CC317" s="184"/>
      <c r="CD317" s="184"/>
      <c r="CE317" s="184"/>
      <c r="CF317" s="184"/>
      <c r="CG317" s="184"/>
      <c r="CH317" s="184"/>
      <c r="CI317" s="184"/>
      <c r="CJ317" s="184"/>
      <c r="CK317" s="184"/>
      <c r="CL317" s="184"/>
      <c r="CM317" s="184"/>
      <c r="CN317" s="184"/>
      <c r="CO317" s="184"/>
      <c r="CP317" s="184"/>
      <c r="CQ317" s="184"/>
      <c r="CR317" s="184"/>
      <c r="CS317" s="184"/>
      <c r="CT317" s="184"/>
      <c r="CU317" s="184"/>
      <c r="CV317" s="184"/>
      <c r="CW317" s="184"/>
      <c r="CX317" s="184"/>
      <c r="CY317" s="184"/>
      <c r="CZ317" s="184"/>
      <c r="DA317" s="184"/>
      <c r="DB317" s="184"/>
      <c r="DC317" s="184"/>
      <c r="DD317" s="184"/>
      <c r="DE317" s="184"/>
      <c r="DF317" s="184"/>
      <c r="DG317" s="184"/>
      <c r="DH317" s="184"/>
    </row>
    <row r="318" spans="1:112" s="195" customFormat="1" x14ac:dyDescent="0.2">
      <c r="A318" s="195" t="s">
        <v>476</v>
      </c>
      <c r="C318" s="195" t="s">
        <v>497</v>
      </c>
      <c r="E318" s="194">
        <f t="shared" si="295"/>
        <v>118256.40000000001</v>
      </c>
      <c r="F318" s="185">
        <f>9210*(B$6+1)*12</f>
        <v>118256.40000000001</v>
      </c>
      <c r="G318" s="194"/>
      <c r="H318" s="185"/>
      <c r="I318" s="194"/>
      <c r="J318" s="194"/>
      <c r="K318" s="194"/>
      <c r="L318" s="194"/>
      <c r="M318" s="194"/>
      <c r="N318" s="194"/>
      <c r="O318" s="194"/>
      <c r="P318" s="194"/>
    </row>
    <row r="319" spans="1:112" s="195" customFormat="1" x14ac:dyDescent="0.2">
      <c r="A319" s="195" t="s">
        <v>476</v>
      </c>
      <c r="C319" s="195" t="s">
        <v>34</v>
      </c>
      <c r="E319" s="194">
        <f t="shared" si="295"/>
        <v>118256.40000000001</v>
      </c>
      <c r="F319" s="185">
        <f>9210*(B$6+1)*12</f>
        <v>118256.40000000001</v>
      </c>
      <c r="G319" s="194"/>
      <c r="H319" s="185"/>
      <c r="I319" s="194"/>
      <c r="J319" s="194"/>
      <c r="K319" s="194"/>
      <c r="L319" s="194"/>
      <c r="M319" s="194"/>
      <c r="N319" s="194"/>
      <c r="O319" s="194"/>
      <c r="P319" s="194"/>
    </row>
    <row r="320" spans="1:112" s="195" customFormat="1" x14ac:dyDescent="0.2">
      <c r="A320" s="195" t="s">
        <v>498</v>
      </c>
      <c r="C320" s="195" t="s">
        <v>499</v>
      </c>
      <c r="E320" s="194">
        <f t="shared" si="295"/>
        <v>126538.20000000001</v>
      </c>
      <c r="F320" s="185">
        <f>9855*(B$6+1)*12</f>
        <v>126538.20000000001</v>
      </c>
      <c r="G320" s="194"/>
      <c r="H320" s="185"/>
      <c r="I320" s="194"/>
      <c r="J320" s="194"/>
      <c r="K320" s="194"/>
      <c r="L320" s="194"/>
      <c r="M320" s="194"/>
      <c r="N320" s="194"/>
      <c r="O320" s="194"/>
      <c r="P320" s="194"/>
    </row>
    <row r="321" spans="1:112" s="235" customFormat="1" x14ac:dyDescent="0.2">
      <c r="A321" s="195" t="s">
        <v>478</v>
      </c>
      <c r="C321" s="235" t="s">
        <v>477</v>
      </c>
      <c r="D321" s="195">
        <v>8</v>
      </c>
      <c r="E321" s="194">
        <f t="shared" ref="E321" si="299">SUM(F321:P321)</f>
        <v>424598.51050000009</v>
      </c>
      <c r="F321" s="194">
        <f>21595*(B$6+1)*12</f>
        <v>277279.80000000005</v>
      </c>
      <c r="G321" s="194">
        <f>F321*0.22</f>
        <v>61001.556000000011</v>
      </c>
      <c r="H321" s="185">
        <f t="shared" si="254"/>
        <v>49703.64</v>
      </c>
      <c r="I321" s="185">
        <f t="shared" ref="I321:I323" si="300">700*12</f>
        <v>8400</v>
      </c>
      <c r="J321" s="198">
        <v>1926</v>
      </c>
      <c r="K321" s="194"/>
      <c r="L321" s="185">
        <v>93</v>
      </c>
      <c r="M321" s="194">
        <f>(N321+I321+K321+F321)*0.01</f>
        <v>3087.8645000000006</v>
      </c>
      <c r="N321" s="194">
        <f>F321/12</f>
        <v>23106.650000000005</v>
      </c>
      <c r="O321" s="185"/>
      <c r="P321" s="237"/>
    </row>
    <row r="322" spans="1:112" s="204" customFormat="1" x14ac:dyDescent="0.2">
      <c r="A322" s="184" t="s">
        <v>500</v>
      </c>
      <c r="B322" s="184"/>
      <c r="C322" s="184" t="s">
        <v>501</v>
      </c>
      <c r="D322" s="184">
        <v>7</v>
      </c>
      <c r="E322" s="185">
        <f t="shared" si="295"/>
        <v>451512.38100000005</v>
      </c>
      <c r="F322" s="185">
        <f>23190*(B$6+1)*12</f>
        <v>297759.60000000003</v>
      </c>
      <c r="G322" s="185">
        <f t="shared" si="296"/>
        <v>65507.112000000008</v>
      </c>
      <c r="H322" s="185">
        <f t="shared" si="254"/>
        <v>49703.64</v>
      </c>
      <c r="I322" s="185">
        <f t="shared" si="300"/>
        <v>8400</v>
      </c>
      <c r="J322" s="198">
        <v>1926</v>
      </c>
      <c r="K322" s="185">
        <f>0*12</f>
        <v>0</v>
      </c>
      <c r="L322" s="185">
        <v>93</v>
      </c>
      <c r="M322" s="185">
        <f t="shared" ref="M322" si="301">(N322+I322+K322+F322)*0.01</f>
        <v>3309.7290000000003</v>
      </c>
      <c r="N322" s="185">
        <f t="shared" si="298"/>
        <v>24813.300000000003</v>
      </c>
      <c r="O322" s="185"/>
      <c r="P322" s="185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  <c r="AR322" s="184"/>
      <c r="AS322" s="184"/>
      <c r="AT322" s="184"/>
      <c r="AU322" s="184"/>
      <c r="AV322" s="184"/>
      <c r="AW322" s="184"/>
      <c r="AX322" s="184"/>
      <c r="AY322" s="184"/>
      <c r="AZ322" s="184"/>
      <c r="BA322" s="184"/>
      <c r="BB322" s="184"/>
      <c r="BC322" s="184"/>
      <c r="BD322" s="184"/>
      <c r="BE322" s="184"/>
      <c r="BF322" s="184"/>
      <c r="BG322" s="184"/>
      <c r="BH322" s="184"/>
      <c r="BI322" s="184"/>
      <c r="BJ322" s="184"/>
      <c r="BK322" s="184"/>
      <c r="BL322" s="184"/>
      <c r="BM322" s="184"/>
      <c r="BN322" s="184"/>
      <c r="BO322" s="184"/>
      <c r="BP322" s="184"/>
      <c r="BQ322" s="184"/>
      <c r="BR322" s="184"/>
      <c r="BS322" s="184"/>
      <c r="BT322" s="184"/>
      <c r="BU322" s="184"/>
      <c r="BV322" s="184"/>
      <c r="BW322" s="184"/>
      <c r="BX322" s="184"/>
      <c r="BY322" s="184"/>
      <c r="BZ322" s="184"/>
      <c r="CA322" s="184"/>
      <c r="CB322" s="184"/>
      <c r="CC322" s="184"/>
      <c r="CD322" s="184"/>
      <c r="CE322" s="184"/>
      <c r="CF322" s="184"/>
      <c r="CG322" s="184"/>
      <c r="CH322" s="184"/>
      <c r="CI322" s="184"/>
      <c r="CJ322" s="184"/>
      <c r="CK322" s="184"/>
      <c r="CL322" s="184"/>
      <c r="CM322" s="184"/>
      <c r="CN322" s="184"/>
      <c r="CO322" s="184"/>
      <c r="CP322" s="184"/>
      <c r="CQ322" s="184"/>
      <c r="CR322" s="184"/>
      <c r="CS322" s="184"/>
      <c r="CT322" s="184"/>
      <c r="CU322" s="184"/>
      <c r="CV322" s="184"/>
      <c r="CW322" s="184"/>
      <c r="CX322" s="184"/>
      <c r="CY322" s="184"/>
      <c r="CZ322" s="184"/>
      <c r="DA322" s="184"/>
      <c r="DB322" s="184"/>
      <c r="DC322" s="184"/>
      <c r="DD322" s="184"/>
      <c r="DE322" s="184"/>
      <c r="DF322" s="184"/>
      <c r="DG322" s="184"/>
      <c r="DH322" s="184"/>
    </row>
    <row r="323" spans="1:112" s="195" customFormat="1" x14ac:dyDescent="0.2">
      <c r="A323" s="195" t="s">
        <v>466</v>
      </c>
      <c r="C323" s="195" t="s">
        <v>467</v>
      </c>
      <c r="D323" s="195">
        <v>8</v>
      </c>
      <c r="E323" s="194">
        <f t="shared" si="295"/>
        <v>424598.51050000009</v>
      </c>
      <c r="F323" s="194">
        <f>21595*(B$6+1)*12</f>
        <v>277279.80000000005</v>
      </c>
      <c r="G323" s="194">
        <f>F323*0.22</f>
        <v>61001.556000000011</v>
      </c>
      <c r="H323" s="185">
        <f t="shared" si="254"/>
        <v>49703.64</v>
      </c>
      <c r="I323" s="185">
        <f t="shared" si="300"/>
        <v>8400</v>
      </c>
      <c r="J323" s="198">
        <v>1926</v>
      </c>
      <c r="K323" s="194"/>
      <c r="L323" s="185">
        <v>93</v>
      </c>
      <c r="M323" s="194">
        <f>(N323+I323+K323+F323)*0.01</f>
        <v>3087.8645000000006</v>
      </c>
      <c r="N323" s="194">
        <f>F323/12</f>
        <v>23106.650000000005</v>
      </c>
      <c r="O323" s="194"/>
      <c r="P323" s="194"/>
    </row>
    <row r="324" spans="1:112" s="200" customFormat="1" x14ac:dyDescent="0.2">
      <c r="A324" s="195" t="s">
        <v>157</v>
      </c>
      <c r="E324" s="185">
        <f t="shared" si="295"/>
        <v>350000</v>
      </c>
      <c r="F324" s="201"/>
      <c r="G324" s="201"/>
      <c r="H324" s="201"/>
      <c r="I324" s="201"/>
      <c r="J324" s="201"/>
      <c r="K324" s="201"/>
      <c r="L324" s="201"/>
      <c r="M324" s="201"/>
      <c r="N324" s="201"/>
      <c r="O324" s="201">
        <v>350000</v>
      </c>
      <c r="P324" s="201"/>
    </row>
    <row r="325" spans="1:112" s="235" customFormat="1" x14ac:dyDescent="0.2">
      <c r="A325" s="235" t="s">
        <v>164</v>
      </c>
      <c r="E325" s="185">
        <f t="shared" si="295"/>
        <v>55876</v>
      </c>
      <c r="F325" s="185"/>
      <c r="G325" s="237"/>
      <c r="H325" s="185"/>
      <c r="I325" s="237"/>
      <c r="J325" s="237"/>
      <c r="K325" s="237"/>
      <c r="L325" s="237"/>
      <c r="M325" s="237"/>
      <c r="N325" s="237"/>
      <c r="O325" s="237"/>
      <c r="P325" s="237">
        <v>55876</v>
      </c>
    </row>
    <row r="326" spans="1:112" s="227" customFormat="1" x14ac:dyDescent="0.2">
      <c r="A326" s="200"/>
      <c r="B326" s="200"/>
      <c r="C326" s="200"/>
      <c r="D326" s="200"/>
      <c r="E326" s="201"/>
      <c r="F326" s="201"/>
      <c r="G326" s="201"/>
      <c r="H326" s="201"/>
      <c r="I326" s="201"/>
      <c r="J326" s="202"/>
      <c r="K326" s="201"/>
      <c r="L326" s="201"/>
      <c r="M326" s="201"/>
      <c r="N326" s="201"/>
      <c r="O326" s="201"/>
      <c r="P326" s="201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0"/>
      <c r="AT326" s="200"/>
      <c r="AU326" s="200"/>
      <c r="AV326" s="200"/>
      <c r="AW326" s="200"/>
      <c r="AX326" s="200"/>
      <c r="AY326" s="200"/>
      <c r="AZ326" s="200"/>
      <c r="BA326" s="200"/>
      <c r="BB326" s="200"/>
      <c r="BC326" s="200"/>
      <c r="BD326" s="200"/>
      <c r="BE326" s="200"/>
      <c r="BF326" s="200"/>
      <c r="BG326" s="200"/>
      <c r="BH326" s="200"/>
      <c r="BI326" s="200"/>
      <c r="BJ326" s="200"/>
      <c r="BK326" s="200"/>
      <c r="BL326" s="200"/>
      <c r="BM326" s="200"/>
      <c r="BN326" s="200"/>
      <c r="BO326" s="200"/>
      <c r="BP326" s="200"/>
      <c r="BQ326" s="200"/>
      <c r="BR326" s="200"/>
      <c r="BS326" s="200"/>
      <c r="BT326" s="200"/>
      <c r="BU326" s="200"/>
      <c r="BV326" s="200"/>
      <c r="BW326" s="200"/>
      <c r="BX326" s="200"/>
      <c r="BY326" s="200"/>
      <c r="BZ326" s="200"/>
      <c r="CA326" s="200"/>
      <c r="CB326" s="200"/>
      <c r="CC326" s="200"/>
      <c r="CD326" s="200"/>
      <c r="CE326" s="200"/>
      <c r="CF326" s="200"/>
      <c r="CG326" s="200"/>
      <c r="CH326" s="200"/>
      <c r="CI326" s="200"/>
      <c r="CJ326" s="200"/>
      <c r="CK326" s="200"/>
      <c r="CL326" s="200"/>
      <c r="CM326" s="200"/>
      <c r="CN326" s="200"/>
      <c r="CO326" s="200"/>
      <c r="CP326" s="200"/>
      <c r="CQ326" s="200"/>
      <c r="CR326" s="200"/>
      <c r="CS326" s="200"/>
      <c r="CT326" s="200"/>
      <c r="CU326" s="200"/>
      <c r="CV326" s="200"/>
      <c r="CW326" s="200"/>
      <c r="CX326" s="200"/>
      <c r="CY326" s="200"/>
      <c r="CZ326" s="200"/>
      <c r="DA326" s="200"/>
      <c r="DB326" s="200"/>
      <c r="DC326" s="200"/>
      <c r="DD326" s="200"/>
      <c r="DE326" s="200"/>
      <c r="DF326" s="200"/>
      <c r="DG326" s="200"/>
      <c r="DH326" s="200"/>
    </row>
    <row r="327" spans="1:112" s="240" customFormat="1" x14ac:dyDescent="0.2">
      <c r="A327" s="235" t="s">
        <v>329</v>
      </c>
      <c r="B327" s="235"/>
      <c r="C327" s="235"/>
      <c r="D327" s="235"/>
      <c r="E327" s="237">
        <f>SUM(F327:N327)</f>
        <v>0</v>
      </c>
      <c r="F327" s="237"/>
      <c r="G327" s="237"/>
      <c r="H327" s="237"/>
      <c r="I327" s="237"/>
      <c r="J327" s="239"/>
      <c r="K327" s="237"/>
      <c r="L327" s="237"/>
      <c r="M327" s="237"/>
      <c r="N327" s="237"/>
      <c r="O327" s="237"/>
      <c r="P327" s="237"/>
      <c r="Q327" s="235"/>
      <c r="R327" s="235"/>
      <c r="S327" s="235"/>
      <c r="T327" s="235"/>
      <c r="U327" s="235"/>
      <c r="V327" s="235"/>
      <c r="W327" s="235"/>
      <c r="X327" s="235"/>
      <c r="Y327" s="235"/>
      <c r="Z327" s="235"/>
      <c r="AA327" s="235"/>
      <c r="AB327" s="235"/>
      <c r="AC327" s="235"/>
      <c r="AD327" s="235"/>
      <c r="AE327" s="235"/>
      <c r="AF327" s="235"/>
      <c r="AG327" s="235"/>
      <c r="AH327" s="235"/>
      <c r="AI327" s="235"/>
      <c r="AJ327" s="235"/>
      <c r="AK327" s="235"/>
      <c r="AL327" s="235"/>
      <c r="AM327" s="235"/>
      <c r="AN327" s="235"/>
      <c r="AO327" s="235"/>
      <c r="AP327" s="235"/>
      <c r="AQ327" s="235"/>
      <c r="AR327" s="235"/>
      <c r="AS327" s="235"/>
      <c r="AT327" s="235"/>
      <c r="AU327" s="235"/>
      <c r="AV327" s="235"/>
      <c r="AW327" s="235"/>
      <c r="AX327" s="235"/>
      <c r="AY327" s="235"/>
      <c r="AZ327" s="235"/>
      <c r="BA327" s="235"/>
      <c r="BB327" s="235"/>
      <c r="BC327" s="235"/>
      <c r="BD327" s="235"/>
      <c r="BE327" s="235"/>
      <c r="BF327" s="235"/>
      <c r="BG327" s="235"/>
      <c r="BH327" s="235"/>
      <c r="BI327" s="235"/>
      <c r="BJ327" s="235"/>
      <c r="BK327" s="235"/>
      <c r="BL327" s="235"/>
      <c r="BM327" s="235"/>
      <c r="BN327" s="235"/>
      <c r="BO327" s="235"/>
      <c r="BP327" s="235"/>
      <c r="BQ327" s="235"/>
      <c r="BR327" s="235"/>
      <c r="BS327" s="235"/>
      <c r="BT327" s="235"/>
      <c r="BU327" s="235"/>
      <c r="BV327" s="235"/>
      <c r="BW327" s="235"/>
      <c r="BX327" s="235"/>
      <c r="BY327" s="235"/>
      <c r="BZ327" s="235"/>
      <c r="CA327" s="235"/>
      <c r="CB327" s="235"/>
      <c r="CC327" s="235"/>
      <c r="CD327" s="235"/>
      <c r="CE327" s="235"/>
      <c r="CF327" s="235"/>
      <c r="CG327" s="235"/>
      <c r="CH327" s="235"/>
      <c r="CI327" s="235"/>
      <c r="CJ327" s="235"/>
      <c r="CK327" s="235"/>
      <c r="CL327" s="235"/>
      <c r="CM327" s="235"/>
      <c r="CN327" s="235"/>
      <c r="CO327" s="235"/>
      <c r="CP327" s="235"/>
      <c r="CQ327" s="235"/>
      <c r="CR327" s="235"/>
      <c r="CS327" s="235"/>
      <c r="CT327" s="235"/>
      <c r="CU327" s="235"/>
      <c r="CV327" s="235"/>
      <c r="CW327" s="235"/>
      <c r="CX327" s="235"/>
      <c r="CY327" s="235"/>
      <c r="CZ327" s="235"/>
      <c r="DA327" s="235"/>
      <c r="DB327" s="235"/>
      <c r="DC327" s="235"/>
      <c r="DD327" s="235"/>
      <c r="DE327" s="235"/>
      <c r="DF327" s="235"/>
      <c r="DG327" s="235"/>
      <c r="DH327" s="235"/>
    </row>
    <row r="328" spans="1:112" ht="13.5" thickBot="1" x14ac:dyDescent="0.25">
      <c r="E328" s="205">
        <f t="shared" ref="E328:P328" si="302">SUM(E295:E327)</f>
        <v>17013191.985700004</v>
      </c>
      <c r="F328" s="205">
        <f t="shared" si="302"/>
        <v>10154385.600000003</v>
      </c>
      <c r="G328" s="205">
        <f t="shared" si="302"/>
        <v>2005048.6134000004</v>
      </c>
      <c r="H328" s="205">
        <f t="shared" si="302"/>
        <v>994072.80000000016</v>
      </c>
      <c r="I328" s="205">
        <f t="shared" si="302"/>
        <v>159600</v>
      </c>
      <c r="J328" s="205">
        <f t="shared" si="302"/>
        <v>38520</v>
      </c>
      <c r="K328" s="205">
        <f t="shared" si="302"/>
        <v>2270400</v>
      </c>
      <c r="L328" s="205">
        <f t="shared" si="302"/>
        <v>1860</v>
      </c>
      <c r="M328" s="205">
        <f t="shared" si="302"/>
        <v>106651.96910000003</v>
      </c>
      <c r="N328" s="205">
        <f t="shared" si="302"/>
        <v>876777.00320000027</v>
      </c>
      <c r="O328" s="205">
        <f t="shared" si="302"/>
        <v>350000</v>
      </c>
      <c r="P328" s="205">
        <f t="shared" si="302"/>
        <v>55876</v>
      </c>
    </row>
    <row r="329" spans="1:112" ht="13.5" thickTop="1" x14ac:dyDescent="0.2">
      <c r="C329" s="184" t="s">
        <v>199</v>
      </c>
      <c r="D329" s="184">
        <f>COUNT(D295:D328)</f>
        <v>26</v>
      </c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</row>
    <row r="330" spans="1:112" x14ac:dyDescent="0.2"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</row>
    <row r="331" spans="1:112" x14ac:dyDescent="0.2"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</row>
    <row r="332" spans="1:112" x14ac:dyDescent="0.2">
      <c r="A332" s="192" t="s">
        <v>328</v>
      </c>
      <c r="E332" s="185"/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</row>
    <row r="333" spans="1:112" x14ac:dyDescent="0.2">
      <c r="C333" s="184" t="s">
        <v>176</v>
      </c>
      <c r="D333" s="193" t="s">
        <v>177</v>
      </c>
      <c r="E333" s="193" t="s">
        <v>178</v>
      </c>
      <c r="F333" s="193" t="s">
        <v>179</v>
      </c>
      <c r="G333" s="193" t="s">
        <v>180</v>
      </c>
      <c r="H333" s="193" t="s">
        <v>181</v>
      </c>
      <c r="I333" s="193" t="s">
        <v>182</v>
      </c>
      <c r="J333" s="193" t="s">
        <v>183</v>
      </c>
      <c r="K333" s="193" t="s">
        <v>184</v>
      </c>
      <c r="L333" s="193" t="s">
        <v>185</v>
      </c>
      <c r="M333" s="193" t="s">
        <v>186</v>
      </c>
      <c r="N333" s="193" t="s">
        <v>187</v>
      </c>
      <c r="O333" s="193" t="s">
        <v>372</v>
      </c>
      <c r="P333" s="185" t="s">
        <v>164</v>
      </c>
    </row>
    <row r="334" spans="1:112" x14ac:dyDescent="0.2">
      <c r="D334" s="193" t="s">
        <v>188</v>
      </c>
      <c r="E334" s="193" t="s">
        <v>189</v>
      </c>
      <c r="F334" s="193"/>
      <c r="G334" s="193" t="s">
        <v>190</v>
      </c>
      <c r="H334" s="193" t="s">
        <v>190</v>
      </c>
      <c r="I334" s="193" t="s">
        <v>191</v>
      </c>
      <c r="J334" s="193"/>
      <c r="K334" s="193" t="s">
        <v>192</v>
      </c>
      <c r="L334" s="193" t="s">
        <v>193</v>
      </c>
      <c r="M334" s="193" t="s">
        <v>194</v>
      </c>
      <c r="N334" s="193" t="s">
        <v>195</v>
      </c>
      <c r="O334" s="193" t="s">
        <v>192</v>
      </c>
    </row>
    <row r="335" spans="1:112" x14ac:dyDescent="0.2">
      <c r="A335" s="210" t="s">
        <v>768</v>
      </c>
      <c r="C335" s="184" t="s">
        <v>401</v>
      </c>
      <c r="D335" s="184">
        <v>0</v>
      </c>
      <c r="E335" s="185">
        <f t="shared" ref="E335:E336" si="303">SUM(F335:P335)</f>
        <v>1255612.8648000001</v>
      </c>
      <c r="F335" s="185">
        <f>54373*(B$6+1)*12</f>
        <v>698149.32000000007</v>
      </c>
      <c r="G335" s="185">
        <v>0</v>
      </c>
      <c r="H335" s="185">
        <f>3871*(B$7+1)*12</f>
        <v>49703.64</v>
      </c>
      <c r="I335" s="185">
        <f>6500*12</f>
        <v>78000</v>
      </c>
      <c r="J335" s="198">
        <v>1926</v>
      </c>
      <c r="K335" s="185">
        <f>27500*12</f>
        <v>330000</v>
      </c>
      <c r="L335" s="185">
        <v>93</v>
      </c>
      <c r="M335" s="185">
        <v>0</v>
      </c>
      <c r="N335" s="185">
        <f>F335*0.14</f>
        <v>97740.904800000018</v>
      </c>
      <c r="O335" s="193"/>
    </row>
    <row r="336" spans="1:112" x14ac:dyDescent="0.2">
      <c r="A336" s="195" t="s">
        <v>769</v>
      </c>
      <c r="C336" s="195" t="s">
        <v>64</v>
      </c>
      <c r="D336" s="184">
        <v>2</v>
      </c>
      <c r="E336" s="185">
        <f t="shared" si="303"/>
        <v>1000726.9931000001</v>
      </c>
      <c r="F336" s="185">
        <f>47129*(B$6+1)*12</f>
        <v>605136.3600000001</v>
      </c>
      <c r="G336" s="185">
        <f>F336*0.22</f>
        <v>133129.99920000002</v>
      </c>
      <c r="H336" s="185">
        <f t="shared" ref="H336:H344" si="304">3871*(B$7+1)*12</f>
        <v>49703.64</v>
      </c>
      <c r="I336" s="185">
        <f t="shared" ref="I336:I342" si="305">686*12</f>
        <v>8232</v>
      </c>
      <c r="J336" s="198">
        <v>1926</v>
      </c>
      <c r="K336" s="185">
        <f>12000*12</f>
        <v>144000</v>
      </c>
      <c r="L336" s="185">
        <v>93</v>
      </c>
      <c r="M336" s="185">
        <f t="shared" ref="M336:M341" si="306">(N336+I336+K336+F336)*0.01</f>
        <v>8077.9639000000016</v>
      </c>
      <c r="N336" s="185">
        <f>F336/12</f>
        <v>50428.030000000006</v>
      </c>
      <c r="O336" s="185"/>
      <c r="P336" s="241"/>
    </row>
    <row r="337" spans="1:112" s="243" customFormat="1" x14ac:dyDescent="0.2">
      <c r="A337" s="235" t="s">
        <v>770</v>
      </c>
      <c r="B337" s="235"/>
      <c r="C337" s="235" t="s">
        <v>457</v>
      </c>
      <c r="D337" s="235">
        <v>5</v>
      </c>
      <c r="E337" s="237">
        <f t="shared" ref="E337" si="307">SUM(F337:P337)</f>
        <v>715254.54520000005</v>
      </c>
      <c r="F337" s="237">
        <f>31799*(B$6+1)*12</f>
        <v>408299.16000000003</v>
      </c>
      <c r="G337" s="237">
        <f t="shared" ref="G337" si="308">F337*0.22</f>
        <v>89825.815200000012</v>
      </c>
      <c r="H337" s="185">
        <f t="shared" si="304"/>
        <v>49703.64</v>
      </c>
      <c r="I337" s="237">
        <f t="shared" si="305"/>
        <v>8232</v>
      </c>
      <c r="J337" s="198">
        <v>1926</v>
      </c>
      <c r="K337" s="237">
        <f t="shared" ref="K337" si="309">10080*12</f>
        <v>120960</v>
      </c>
      <c r="L337" s="185">
        <v>93</v>
      </c>
      <c r="M337" s="237">
        <v>2190</v>
      </c>
      <c r="N337" s="237">
        <f t="shared" ref="N337" si="310">F337/12</f>
        <v>34024.93</v>
      </c>
      <c r="O337" s="237"/>
      <c r="P337" s="242"/>
      <c r="Q337" s="235"/>
      <c r="R337" s="235"/>
      <c r="S337" s="235"/>
      <c r="T337" s="235"/>
      <c r="U337" s="235"/>
      <c r="V337" s="235"/>
      <c r="W337" s="235"/>
      <c r="X337" s="235"/>
      <c r="Y337" s="235"/>
      <c r="Z337" s="235"/>
      <c r="AA337" s="235"/>
      <c r="AB337" s="235"/>
      <c r="AC337" s="235"/>
      <c r="AD337" s="235"/>
      <c r="AE337" s="235"/>
      <c r="AF337" s="235"/>
      <c r="AG337" s="235"/>
      <c r="AH337" s="235"/>
      <c r="AI337" s="235"/>
      <c r="AJ337" s="235"/>
      <c r="AK337" s="235"/>
      <c r="AL337" s="235"/>
      <c r="AM337" s="235"/>
      <c r="AN337" s="235"/>
      <c r="AO337" s="235"/>
      <c r="AP337" s="235"/>
      <c r="AQ337" s="235"/>
      <c r="AR337" s="235"/>
      <c r="AS337" s="235"/>
      <c r="AT337" s="235"/>
      <c r="AU337" s="235"/>
      <c r="AV337" s="235"/>
      <c r="AW337" s="235"/>
      <c r="AX337" s="235"/>
      <c r="AY337" s="235"/>
      <c r="AZ337" s="235"/>
      <c r="BA337" s="235"/>
      <c r="BB337" s="235"/>
      <c r="BC337" s="235"/>
      <c r="BD337" s="235"/>
      <c r="BE337" s="235"/>
      <c r="BF337" s="235"/>
      <c r="BG337" s="235"/>
      <c r="BH337" s="235"/>
      <c r="BI337" s="235"/>
      <c r="BJ337" s="235"/>
      <c r="BK337" s="235"/>
      <c r="BL337" s="235"/>
      <c r="BM337" s="235"/>
      <c r="BN337" s="235"/>
      <c r="BO337" s="235"/>
      <c r="BP337" s="235"/>
      <c r="BQ337" s="235"/>
      <c r="BR337" s="235"/>
      <c r="BS337" s="235"/>
      <c r="BT337" s="235"/>
      <c r="BU337" s="235"/>
      <c r="BV337" s="235"/>
      <c r="BW337" s="235"/>
      <c r="BX337" s="235"/>
      <c r="BY337" s="235"/>
      <c r="BZ337" s="235"/>
      <c r="CA337" s="235"/>
      <c r="CB337" s="235"/>
      <c r="CC337" s="235"/>
      <c r="CD337" s="235"/>
      <c r="CE337" s="235"/>
      <c r="CF337" s="235"/>
      <c r="CG337" s="235"/>
      <c r="CH337" s="235"/>
      <c r="CI337" s="235"/>
      <c r="CJ337" s="235"/>
      <c r="CK337" s="235"/>
      <c r="CL337" s="235"/>
      <c r="CM337" s="235"/>
      <c r="CN337" s="235"/>
      <c r="CO337" s="235"/>
      <c r="CP337" s="235"/>
      <c r="CQ337" s="235"/>
      <c r="CR337" s="235"/>
      <c r="CS337" s="235"/>
      <c r="CT337" s="235"/>
      <c r="CU337" s="235"/>
      <c r="CV337" s="235"/>
      <c r="CW337" s="235"/>
      <c r="CX337" s="235"/>
      <c r="CY337" s="235"/>
      <c r="CZ337" s="235"/>
      <c r="DA337" s="235"/>
      <c r="DB337" s="235"/>
      <c r="DC337" s="235"/>
      <c r="DD337" s="235"/>
      <c r="DE337" s="235"/>
      <c r="DF337" s="235"/>
      <c r="DG337" s="235"/>
      <c r="DH337" s="235"/>
    </row>
    <row r="338" spans="1:112" x14ac:dyDescent="0.2">
      <c r="A338" s="195" t="s">
        <v>771</v>
      </c>
      <c r="C338" s="195" t="s">
        <v>42</v>
      </c>
      <c r="D338" s="184">
        <v>3</v>
      </c>
      <c r="E338" s="185">
        <f t="shared" ref="E338" si="311">SUM(F338:P338)</f>
        <v>900997.7043000001</v>
      </c>
      <c r="F338" s="185">
        <f>41937*(B$6+1)*12</f>
        <v>538471.08000000007</v>
      </c>
      <c r="G338" s="185">
        <f t="shared" ref="G338:G341" si="312">F338*0.22</f>
        <v>118463.63760000002</v>
      </c>
      <c r="H338" s="185">
        <f t="shared" si="304"/>
        <v>49703.64</v>
      </c>
      <c r="I338" s="185">
        <f t="shared" si="305"/>
        <v>8232</v>
      </c>
      <c r="J338" s="198">
        <v>1926</v>
      </c>
      <c r="K338" s="201">
        <f>11000*12</f>
        <v>132000</v>
      </c>
      <c r="L338" s="185">
        <v>93</v>
      </c>
      <c r="M338" s="185">
        <f t="shared" si="306"/>
        <v>7235.7567000000008</v>
      </c>
      <c r="N338" s="185">
        <f t="shared" ref="N338:N341" si="313">F338/12</f>
        <v>44872.590000000004</v>
      </c>
      <c r="O338" s="185"/>
    </row>
    <row r="339" spans="1:112" x14ac:dyDescent="0.2">
      <c r="A339" s="195" t="s">
        <v>771</v>
      </c>
      <c r="C339" s="195" t="s">
        <v>298</v>
      </c>
      <c r="D339" s="244" t="s">
        <v>347</v>
      </c>
      <c r="E339" s="185">
        <f>SUM(F339:P339)</f>
        <v>900997.7043000001</v>
      </c>
      <c r="F339" s="185">
        <f>41937*(B$6+1)*12</f>
        <v>538471.08000000007</v>
      </c>
      <c r="G339" s="185">
        <f t="shared" ref="G339" si="314">F339*0.22</f>
        <v>118463.63760000002</v>
      </c>
      <c r="H339" s="185">
        <f t="shared" si="304"/>
        <v>49703.64</v>
      </c>
      <c r="I339" s="185">
        <f t="shared" si="305"/>
        <v>8232</v>
      </c>
      <c r="J339" s="198">
        <v>1926</v>
      </c>
      <c r="K339" s="201">
        <f>11000*12</f>
        <v>132000</v>
      </c>
      <c r="L339" s="185">
        <v>93</v>
      </c>
      <c r="M339" s="185">
        <f t="shared" ref="M339" si="315">(N339+I339+K339+F339)*0.01</f>
        <v>7235.7567000000008</v>
      </c>
      <c r="N339" s="185">
        <f t="shared" ref="N339" si="316">F339/12</f>
        <v>44872.590000000004</v>
      </c>
      <c r="O339" s="185"/>
    </row>
    <row r="340" spans="1:112" x14ac:dyDescent="0.2">
      <c r="A340" s="195" t="s">
        <v>58</v>
      </c>
      <c r="B340" s="215"/>
      <c r="C340" s="184" t="s">
        <v>39</v>
      </c>
      <c r="D340" s="195">
        <v>8</v>
      </c>
      <c r="E340" s="185">
        <f t="shared" ref="E340:E342" si="317">SUM(F340:P340)</f>
        <v>530842.43050000002</v>
      </c>
      <c r="F340" s="185">
        <f>21595*(B$6+1)*12</f>
        <v>277279.80000000005</v>
      </c>
      <c r="G340" s="185">
        <f t="shared" si="312"/>
        <v>61001.556000000011</v>
      </c>
      <c r="H340" s="185">
        <f t="shared" si="304"/>
        <v>49703.64</v>
      </c>
      <c r="I340" s="185">
        <f t="shared" si="305"/>
        <v>8232</v>
      </c>
      <c r="J340" s="198">
        <v>1926</v>
      </c>
      <c r="K340" s="194">
        <f>8780*12</f>
        <v>105360</v>
      </c>
      <c r="L340" s="185">
        <v>93</v>
      </c>
      <c r="M340" s="185">
        <f t="shared" si="306"/>
        <v>4139.7845000000007</v>
      </c>
      <c r="N340" s="185">
        <f t="shared" si="313"/>
        <v>23106.650000000005</v>
      </c>
      <c r="O340" s="185"/>
      <c r="P340" s="241"/>
    </row>
    <row r="341" spans="1:112" x14ac:dyDescent="0.2">
      <c r="A341" s="195" t="s">
        <v>58</v>
      </c>
      <c r="B341" s="215"/>
      <c r="C341" s="195" t="s">
        <v>263</v>
      </c>
      <c r="D341" s="184">
        <v>8</v>
      </c>
      <c r="E341" s="185">
        <f t="shared" si="317"/>
        <v>530842.43050000002</v>
      </c>
      <c r="F341" s="185">
        <f>21595*(B$6+1)*12</f>
        <v>277279.80000000005</v>
      </c>
      <c r="G341" s="185">
        <f t="shared" si="312"/>
        <v>61001.556000000011</v>
      </c>
      <c r="H341" s="185">
        <f t="shared" si="304"/>
        <v>49703.64</v>
      </c>
      <c r="I341" s="185">
        <f t="shared" si="305"/>
        <v>8232</v>
      </c>
      <c r="J341" s="198">
        <v>1926</v>
      </c>
      <c r="K341" s="185">
        <f>8780*12</f>
        <v>105360</v>
      </c>
      <c r="L341" s="185">
        <v>93</v>
      </c>
      <c r="M341" s="185">
        <f t="shared" si="306"/>
        <v>4139.7845000000007</v>
      </c>
      <c r="N341" s="185">
        <f t="shared" si="313"/>
        <v>23106.650000000005</v>
      </c>
      <c r="O341" s="185"/>
      <c r="P341" s="241"/>
    </row>
    <row r="342" spans="1:112" x14ac:dyDescent="0.2">
      <c r="A342" s="195" t="s">
        <v>58</v>
      </c>
      <c r="C342" s="184" t="s">
        <v>59</v>
      </c>
      <c r="D342" s="184">
        <v>9</v>
      </c>
      <c r="E342" s="185">
        <f t="shared" si="317"/>
        <v>381889.72860000003</v>
      </c>
      <c r="F342" s="185">
        <f>19074*(B$6+1)*12</f>
        <v>244910.16</v>
      </c>
      <c r="G342" s="185">
        <f>F342*0.22</f>
        <v>53880.235200000003</v>
      </c>
      <c r="H342" s="185">
        <f t="shared" si="304"/>
        <v>49703.64</v>
      </c>
      <c r="I342" s="185">
        <f t="shared" si="305"/>
        <v>8232</v>
      </c>
      <c r="J342" s="198">
        <v>1926</v>
      </c>
      <c r="K342" s="185">
        <v>0</v>
      </c>
      <c r="L342" s="185">
        <v>93</v>
      </c>
      <c r="M342" s="185">
        <f>(N342+I342+K342+F342)*0.01</f>
        <v>2735.5134000000003</v>
      </c>
      <c r="N342" s="185">
        <f>F342/12</f>
        <v>20409.18</v>
      </c>
      <c r="O342" s="185"/>
    </row>
    <row r="343" spans="1:112" x14ac:dyDescent="0.2">
      <c r="A343" s="195" t="s">
        <v>58</v>
      </c>
      <c r="B343" s="215"/>
      <c r="C343" s="184" t="s">
        <v>48</v>
      </c>
      <c r="D343" s="184">
        <v>8</v>
      </c>
      <c r="E343" s="185">
        <f>SUM(F343:P343)</f>
        <v>424428.83050000004</v>
      </c>
      <c r="F343" s="185">
        <f>21595*(B$6+1)*12</f>
        <v>277279.80000000005</v>
      </c>
      <c r="G343" s="185">
        <f>F343*0.22</f>
        <v>61001.556000000011</v>
      </c>
      <c r="H343" s="185">
        <f t="shared" si="304"/>
        <v>49703.64</v>
      </c>
      <c r="I343" s="185">
        <f t="shared" ref="I343" si="318">686*12</f>
        <v>8232</v>
      </c>
      <c r="J343" s="198">
        <v>1926</v>
      </c>
      <c r="K343" s="185">
        <v>0</v>
      </c>
      <c r="L343" s="185">
        <v>93</v>
      </c>
      <c r="M343" s="185">
        <f>(N343+I343+K343+F343)*0.01</f>
        <v>3086.1845000000008</v>
      </c>
      <c r="N343" s="185">
        <f>F343/12</f>
        <v>23106.650000000005</v>
      </c>
      <c r="O343" s="185"/>
    </row>
    <row r="344" spans="1:112" x14ac:dyDescent="0.2">
      <c r="A344" s="195" t="s">
        <v>58</v>
      </c>
      <c r="B344" s="215"/>
      <c r="C344" s="184" t="s">
        <v>62</v>
      </c>
      <c r="D344" s="184">
        <v>10</v>
      </c>
      <c r="E344" s="185">
        <f>SUM(F344:P344)</f>
        <v>325075.30729999999</v>
      </c>
      <c r="F344" s="185">
        <f>15707*(B$6+1)*12</f>
        <v>201677.88</v>
      </c>
      <c r="G344" s="185">
        <f>F344*0.22</f>
        <v>44369.133600000001</v>
      </c>
      <c r="H344" s="185">
        <f t="shared" si="304"/>
        <v>49703.64</v>
      </c>
      <c r="I344" s="185">
        <f t="shared" ref="I344" si="319">686*12</f>
        <v>8232</v>
      </c>
      <c r="J344" s="198">
        <v>1926</v>
      </c>
      <c r="K344" s="185">
        <f t="shared" si="132"/>
        <v>0</v>
      </c>
      <c r="L344" s="185">
        <v>93</v>
      </c>
      <c r="M344" s="185">
        <f>(N344+I344+K344+F344)*0.01</f>
        <v>2267.1637000000001</v>
      </c>
      <c r="N344" s="185">
        <f>F344/12</f>
        <v>16806.490000000002</v>
      </c>
      <c r="O344" s="185"/>
    </row>
    <row r="345" spans="1:112" x14ac:dyDescent="0.2">
      <c r="A345" s="195" t="s">
        <v>329</v>
      </c>
      <c r="B345" s="215"/>
      <c r="C345" s="245"/>
      <c r="E345" s="185">
        <f t="shared" ref="E345:E347" si="320">SUM(F345:P345)</f>
        <v>0</v>
      </c>
      <c r="F345" s="185"/>
      <c r="G345" s="185"/>
      <c r="H345" s="185"/>
      <c r="I345" s="185"/>
      <c r="J345" s="198"/>
      <c r="K345" s="185"/>
      <c r="L345" s="185"/>
      <c r="M345" s="185"/>
      <c r="N345" s="185"/>
      <c r="O345" s="185">
        <v>0</v>
      </c>
    </row>
    <row r="346" spans="1:112" x14ac:dyDescent="0.2">
      <c r="A346" s="195" t="s">
        <v>157</v>
      </c>
      <c r="B346" s="215"/>
      <c r="C346" s="245"/>
      <c r="E346" s="185">
        <f t="shared" si="320"/>
        <v>65000</v>
      </c>
      <c r="F346" s="185"/>
      <c r="G346" s="185"/>
      <c r="H346" s="185"/>
      <c r="I346" s="185"/>
      <c r="J346" s="198"/>
      <c r="K346" s="185"/>
      <c r="L346" s="185"/>
      <c r="M346" s="185"/>
      <c r="N346" s="185"/>
      <c r="O346" s="185">
        <v>65000</v>
      </c>
    </row>
    <row r="347" spans="1:112" x14ac:dyDescent="0.2">
      <c r="A347" s="195" t="s">
        <v>164</v>
      </c>
      <c r="B347" s="215"/>
      <c r="C347" s="245"/>
      <c r="E347" s="185">
        <f t="shared" si="320"/>
        <v>67500</v>
      </c>
      <c r="F347" s="185"/>
      <c r="G347" s="185"/>
      <c r="H347" s="185"/>
      <c r="I347" s="185"/>
      <c r="J347" s="198"/>
      <c r="K347" s="185"/>
      <c r="L347" s="185"/>
      <c r="M347" s="185"/>
      <c r="N347" s="185"/>
      <c r="O347" s="185"/>
      <c r="P347" s="185">
        <v>67500</v>
      </c>
    </row>
    <row r="348" spans="1:112" ht="13.5" thickBot="1" x14ac:dyDescent="0.25">
      <c r="C348" s="195"/>
      <c r="E348" s="205">
        <f t="shared" ref="E348:P348" si="321">SUM(E335:E347)</f>
        <v>7099168.5391000006</v>
      </c>
      <c r="F348" s="205">
        <f t="shared" si="321"/>
        <v>4066954.4400000004</v>
      </c>
      <c r="G348" s="205">
        <f t="shared" si="321"/>
        <v>741137.12639999995</v>
      </c>
      <c r="H348" s="205">
        <f t="shared" si="321"/>
        <v>497036.40000000008</v>
      </c>
      <c r="I348" s="205">
        <f t="shared" si="321"/>
        <v>152088</v>
      </c>
      <c r="J348" s="205">
        <f t="shared" si="321"/>
        <v>19260</v>
      </c>
      <c r="K348" s="205">
        <f t="shared" si="321"/>
        <v>1069680</v>
      </c>
      <c r="L348" s="205">
        <f t="shared" si="321"/>
        <v>930</v>
      </c>
      <c r="M348" s="205">
        <f t="shared" si="321"/>
        <v>41107.907900000013</v>
      </c>
      <c r="N348" s="205">
        <f t="shared" si="321"/>
        <v>378474.66480000009</v>
      </c>
      <c r="O348" s="205">
        <f t="shared" si="321"/>
        <v>65000</v>
      </c>
      <c r="P348" s="205">
        <f t="shared" si="321"/>
        <v>67500</v>
      </c>
    </row>
    <row r="349" spans="1:112" ht="13.5" thickTop="1" x14ac:dyDescent="0.2">
      <c r="A349" s="184" t="s">
        <v>200</v>
      </c>
      <c r="C349" s="185"/>
      <c r="D349" s="228" t="s">
        <v>443</v>
      </c>
      <c r="E349" s="185"/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</row>
    <row r="350" spans="1:112" x14ac:dyDescent="0.2"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</row>
    <row r="351" spans="1:112" x14ac:dyDescent="0.2">
      <c r="A351" s="184" t="s">
        <v>24</v>
      </c>
      <c r="C351" s="246"/>
      <c r="E351" s="185">
        <f t="shared" ref="E351:N351" si="322">E21+E42+E51+E65+E110+E162+E185+E231+E248+E259+E277+E288+E328+E348</f>
        <v>115463247.275775</v>
      </c>
      <c r="F351" s="185">
        <f t="shared" si="322"/>
        <v>68200035.570000023</v>
      </c>
      <c r="G351" s="185">
        <f t="shared" si="322"/>
        <v>14007034.705000004</v>
      </c>
      <c r="H351" s="185">
        <f t="shared" si="322"/>
        <v>8300507.879999998</v>
      </c>
      <c r="I351" s="185">
        <f t="shared" si="322"/>
        <v>1412088</v>
      </c>
      <c r="J351" s="185">
        <f t="shared" si="322"/>
        <v>321642</v>
      </c>
      <c r="K351" s="185">
        <f t="shared" si="322"/>
        <v>14927400</v>
      </c>
      <c r="L351" s="185">
        <f t="shared" si="322"/>
        <v>15996</v>
      </c>
      <c r="M351" s="185">
        <f t="shared" si="322"/>
        <v>794788.75047500001</v>
      </c>
      <c r="N351" s="185">
        <f t="shared" si="322"/>
        <v>5813586.3703000015</v>
      </c>
      <c r="O351" s="185"/>
    </row>
    <row r="352" spans="1:112" x14ac:dyDescent="0.2">
      <c r="A352" s="184" t="s">
        <v>201</v>
      </c>
      <c r="E352" s="185">
        <f>'OPERATING BUDGET'!C30</f>
        <v>115463247.27577502</v>
      </c>
      <c r="F352" s="185">
        <f>'OPERATING BUDGET'!C15</f>
        <v>68200035.570000023</v>
      </c>
      <c r="G352" s="185">
        <f>'OPERATING BUDGET'!C22</f>
        <v>14007034.705000004</v>
      </c>
      <c r="H352" s="185">
        <f>'OPERATING BUDGET'!C20</f>
        <v>8300507.879999998</v>
      </c>
      <c r="I352" s="185">
        <f>'OPERATING BUDGET'!C19</f>
        <v>1412088</v>
      </c>
      <c r="J352" s="185">
        <f>'OPERATING BUDGET'!C25</f>
        <v>321642</v>
      </c>
      <c r="K352" s="185">
        <f>'OPERATING BUDGET'!C24</f>
        <v>14927400</v>
      </c>
      <c r="L352" s="185">
        <f>'OPERATING BUDGET'!C27</f>
        <v>15996</v>
      </c>
      <c r="M352" s="185">
        <f>'OPERATING BUDGET'!C26</f>
        <v>794788.75047500001</v>
      </c>
      <c r="N352" s="185">
        <f>'OPERATING BUDGET'!C16</f>
        <v>5813586.3703000015</v>
      </c>
      <c r="O352" s="185"/>
    </row>
    <row r="353" spans="1:15" ht="13.5" thickBot="1" x14ac:dyDescent="0.25">
      <c r="A353" s="184" t="s">
        <v>202</v>
      </c>
      <c r="E353" s="247">
        <f t="shared" ref="E353:N353" si="323">E351-E352</f>
        <v>0</v>
      </c>
      <c r="F353" s="247">
        <f t="shared" si="323"/>
        <v>0</v>
      </c>
      <c r="G353" s="247">
        <f t="shared" si="323"/>
        <v>0</v>
      </c>
      <c r="H353" s="247">
        <f t="shared" si="323"/>
        <v>0</v>
      </c>
      <c r="I353" s="247">
        <f t="shared" si="323"/>
        <v>0</v>
      </c>
      <c r="J353" s="247">
        <f t="shared" si="323"/>
        <v>0</v>
      </c>
      <c r="K353" s="247">
        <f t="shared" si="323"/>
        <v>0</v>
      </c>
      <c r="L353" s="247">
        <f t="shared" si="323"/>
        <v>0</v>
      </c>
      <c r="M353" s="247">
        <f t="shared" si="323"/>
        <v>0</v>
      </c>
      <c r="N353" s="247">
        <f t="shared" si="323"/>
        <v>0</v>
      </c>
      <c r="O353" s="199"/>
    </row>
    <row r="354" spans="1:15" x14ac:dyDescent="0.2">
      <c r="A354" s="184" t="s">
        <v>201</v>
      </c>
    </row>
    <row r="355" spans="1:15" x14ac:dyDescent="0.2">
      <c r="F355" s="185">
        <f>'OPERATING BUDGET'!C18</f>
        <v>0</v>
      </c>
      <c r="J355" s="185"/>
    </row>
    <row r="356" spans="1:15" x14ac:dyDescent="0.2">
      <c r="E356" s="246">
        <f t="shared" ref="E356:N356" si="324">SUM(E15:E348)/2</f>
        <v>115463247.27577499</v>
      </c>
      <c r="F356" s="246">
        <f t="shared" si="324"/>
        <v>68200035.569999874</v>
      </c>
      <c r="G356" s="246">
        <f t="shared" si="324"/>
        <v>14007034.705000026</v>
      </c>
      <c r="H356" s="246">
        <f t="shared" si="324"/>
        <v>8300507.8800000167</v>
      </c>
      <c r="I356" s="246">
        <f t="shared" si="324"/>
        <v>1412088</v>
      </c>
      <c r="J356" s="246">
        <f t="shared" si="324"/>
        <v>321642</v>
      </c>
      <c r="K356" s="246">
        <f t="shared" si="324"/>
        <v>14927400</v>
      </c>
      <c r="L356" s="246">
        <f t="shared" si="324"/>
        <v>15996</v>
      </c>
      <c r="M356" s="246">
        <f t="shared" si="324"/>
        <v>794788.75047499966</v>
      </c>
      <c r="N356" s="246">
        <f t="shared" si="324"/>
        <v>5813586.3703000005</v>
      </c>
      <c r="O356" s="246"/>
    </row>
    <row r="358" spans="1:15" x14ac:dyDescent="0.2">
      <c r="E358" s="246">
        <f>E351-E356</f>
        <v>0</v>
      </c>
      <c r="F358" s="246">
        <f t="shared" ref="F358:N358" si="325">F351-F356</f>
        <v>1.4901161193847656E-7</v>
      </c>
      <c r="G358" s="246">
        <f t="shared" si="325"/>
        <v>-2.2351741790771484E-8</v>
      </c>
      <c r="H358" s="246">
        <f t="shared" si="325"/>
        <v>-1.862645149230957E-8</v>
      </c>
      <c r="I358" s="246">
        <f t="shared" si="325"/>
        <v>0</v>
      </c>
      <c r="J358" s="246">
        <f t="shared" si="325"/>
        <v>0</v>
      </c>
      <c r="K358" s="246">
        <f t="shared" si="325"/>
        <v>0</v>
      </c>
      <c r="L358" s="246">
        <f t="shared" si="325"/>
        <v>0</v>
      </c>
      <c r="M358" s="246">
        <f t="shared" si="325"/>
        <v>0</v>
      </c>
      <c r="N358" s="246">
        <f t="shared" si="325"/>
        <v>0</v>
      </c>
      <c r="O358" s="246"/>
    </row>
  </sheetData>
  <phoneticPr fontId="0" type="noConversion"/>
  <pageMargins left="0.75" right="0.75" top="1" bottom="1" header="0.5" footer="0.5"/>
  <pageSetup scale="40" fitToHeight="17" orientation="landscape" r:id="rId1"/>
  <headerFooter alignWithMargins="0">
    <oddFooter>Page &amp;P of &amp;N</oddFooter>
  </headerFooter>
  <rowBreaks count="3" manualBreakCount="3">
    <brk id="64" max="14" man="1"/>
    <brk id="112" max="14" man="1"/>
    <brk id="18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4"/>
    <pageSetUpPr fitToPage="1"/>
  </sheetPr>
  <dimension ref="A1:EG298"/>
  <sheetViews>
    <sheetView view="pageBreakPreview" zoomScale="78" zoomScaleNormal="75" zoomScaleSheetLayoutView="78" workbookViewId="0">
      <pane ySplit="9" topLeftCell="A10" activePane="bottomLeft" state="frozen"/>
      <selection pane="bottomLeft" activeCell="I72" sqref="I72"/>
    </sheetView>
  </sheetViews>
  <sheetFormatPr defaultRowHeight="12.75" x14ac:dyDescent="0.2"/>
  <cols>
    <col min="1" max="1" width="6.42578125" style="27" customWidth="1"/>
    <col min="2" max="2" width="76" style="5" customWidth="1"/>
    <col min="3" max="3" width="14" style="25" customWidth="1"/>
    <col min="4" max="11" width="17.140625" style="30" customWidth="1"/>
    <col min="12" max="12" width="18.28515625" style="42" bestFit="1" customWidth="1"/>
    <col min="13" max="137" width="9.140625" style="26"/>
    <col min="138" max="16384" width="9.140625" style="3"/>
  </cols>
  <sheetData>
    <row r="1" spans="1:137" ht="34.5" x14ac:dyDescent="0.4">
      <c r="A1" s="337" t="s">
        <v>171</v>
      </c>
      <c r="B1" s="337"/>
      <c r="C1" s="337"/>
      <c r="D1" s="23"/>
      <c r="E1" s="23"/>
      <c r="F1" s="64"/>
      <c r="G1" s="24"/>
      <c r="H1" s="24"/>
      <c r="I1" s="24"/>
      <c r="J1" s="24"/>
      <c r="K1" s="24"/>
      <c r="L1" s="25"/>
      <c r="EG1" s="3"/>
    </row>
    <row r="2" spans="1:137" ht="23.25" x14ac:dyDescent="0.35">
      <c r="B2" s="28"/>
      <c r="D2" s="29"/>
      <c r="E2" s="29"/>
      <c r="F2" s="63"/>
      <c r="H2" s="31"/>
      <c r="I2" s="50"/>
      <c r="L2" s="25"/>
      <c r="EG2" s="3"/>
    </row>
    <row r="3" spans="1:137" ht="26.25" x14ac:dyDescent="0.2">
      <c r="B3" s="28"/>
      <c r="C3" s="347" t="s">
        <v>667</v>
      </c>
      <c r="D3" s="347"/>
      <c r="E3" s="347"/>
      <c r="F3" s="348"/>
      <c r="G3" s="348"/>
      <c r="H3" s="349"/>
      <c r="I3" s="349"/>
      <c r="J3" s="349"/>
      <c r="L3" s="25"/>
      <c r="EG3" s="3"/>
    </row>
    <row r="4" spans="1:137" ht="23.25" x14ac:dyDescent="0.25">
      <c r="A4" s="343" t="s">
        <v>663</v>
      </c>
      <c r="B4" s="343"/>
      <c r="C4" s="91"/>
      <c r="D4" s="344" t="s">
        <v>795</v>
      </c>
      <c r="E4" s="344"/>
      <c r="F4" s="344"/>
      <c r="G4" s="345"/>
      <c r="H4" s="345"/>
      <c r="I4" s="346"/>
      <c r="J4" s="346"/>
      <c r="K4" s="346"/>
      <c r="L4" s="25"/>
      <c r="EG4" s="3"/>
    </row>
    <row r="5" spans="1:137" x14ac:dyDescent="0.2">
      <c r="B5" s="26"/>
      <c r="D5" s="32"/>
      <c r="E5" s="32"/>
      <c r="F5" s="32"/>
      <c r="G5" s="32"/>
      <c r="H5" s="32"/>
      <c r="I5" s="32"/>
      <c r="J5" s="32"/>
      <c r="K5" s="32"/>
      <c r="L5" s="25"/>
      <c r="EG5" s="3"/>
    </row>
    <row r="6" spans="1:137" ht="27.75" x14ac:dyDescent="0.2">
      <c r="B6" s="26" t="s">
        <v>254</v>
      </c>
      <c r="D6" s="92"/>
      <c r="E6" s="92"/>
      <c r="F6" s="92"/>
      <c r="G6" s="93"/>
      <c r="H6" s="93"/>
      <c r="I6" s="32"/>
      <c r="J6" s="32"/>
      <c r="K6" s="32"/>
      <c r="L6" s="25"/>
      <c r="EG6" s="3"/>
    </row>
    <row r="7" spans="1:137" ht="15" customHeight="1" thickBot="1" x14ac:dyDescent="0.25">
      <c r="A7" s="33"/>
      <c r="B7" s="26"/>
      <c r="D7" s="23"/>
      <c r="E7" s="23"/>
      <c r="F7" s="23"/>
      <c r="G7" s="23"/>
      <c r="H7" s="23"/>
      <c r="I7" s="23"/>
      <c r="J7" s="23"/>
      <c r="K7" s="23"/>
      <c r="L7" s="25"/>
      <c r="EG7" s="3"/>
    </row>
    <row r="8" spans="1:137" ht="13.7" customHeight="1" thickBot="1" x14ac:dyDescent="0.25">
      <c r="A8" s="338"/>
      <c r="B8" s="341"/>
      <c r="C8" s="341" t="s">
        <v>255</v>
      </c>
      <c r="D8" s="334" t="s">
        <v>661</v>
      </c>
      <c r="E8" s="335"/>
      <c r="F8" s="335"/>
      <c r="G8" s="335"/>
      <c r="H8" s="335"/>
      <c r="I8" s="336"/>
      <c r="J8" s="339" t="s">
        <v>640</v>
      </c>
      <c r="K8" s="339" t="s">
        <v>641</v>
      </c>
      <c r="L8" s="51"/>
      <c r="EG8" s="3"/>
    </row>
    <row r="9" spans="1:137" s="34" customFormat="1" ht="30.75" customHeight="1" thickBot="1" x14ac:dyDescent="0.25">
      <c r="A9" s="338"/>
      <c r="B9" s="342"/>
      <c r="C9" s="342"/>
      <c r="D9" s="60"/>
      <c r="E9" s="60" t="s">
        <v>412</v>
      </c>
      <c r="F9" s="90" t="s">
        <v>411</v>
      </c>
      <c r="G9" s="90" t="s">
        <v>482</v>
      </c>
      <c r="H9" s="90" t="s">
        <v>111</v>
      </c>
      <c r="I9" s="126" t="s">
        <v>642</v>
      </c>
      <c r="J9" s="340"/>
      <c r="K9" s="340"/>
      <c r="L9" s="52" t="s">
        <v>256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</row>
    <row r="10" spans="1:137" ht="34.5" customHeight="1" thickBot="1" x14ac:dyDescent="0.3">
      <c r="A10" s="33"/>
      <c r="B10" s="35" t="s">
        <v>171</v>
      </c>
      <c r="C10" s="83"/>
      <c r="D10" s="59"/>
      <c r="E10" s="59"/>
      <c r="F10" s="59"/>
      <c r="G10" s="59"/>
      <c r="H10" s="59"/>
      <c r="I10" s="127"/>
      <c r="J10" s="59"/>
      <c r="K10" s="54"/>
      <c r="L10" s="51"/>
      <c r="EG10" s="3"/>
    </row>
    <row r="11" spans="1:137" x14ac:dyDescent="0.2">
      <c r="A11" s="33"/>
      <c r="B11" s="61"/>
      <c r="C11" s="48"/>
      <c r="D11" s="37"/>
      <c r="E11" s="37"/>
      <c r="F11" s="37"/>
      <c r="G11" s="37"/>
      <c r="H11" s="37"/>
      <c r="I11" s="128"/>
      <c r="J11" s="37"/>
      <c r="K11" s="37"/>
      <c r="L11" s="76"/>
      <c r="EG11" s="3"/>
    </row>
    <row r="12" spans="1:137" s="26" customFormat="1" x14ac:dyDescent="0.2">
      <c r="A12" s="33"/>
      <c r="B12" s="41"/>
      <c r="C12" s="67"/>
      <c r="D12" s="40"/>
      <c r="E12" s="40"/>
      <c r="F12" s="40"/>
      <c r="G12" s="40"/>
      <c r="H12" s="40"/>
      <c r="I12" s="129"/>
      <c r="J12" s="40"/>
      <c r="K12" s="40"/>
      <c r="L12" s="77"/>
    </row>
    <row r="13" spans="1:137" s="103" customFormat="1" ht="13.5" customHeight="1" x14ac:dyDescent="0.2">
      <c r="A13" s="99"/>
      <c r="B13" s="96" t="s">
        <v>407</v>
      </c>
      <c r="C13" s="100"/>
      <c r="D13" s="101"/>
      <c r="E13" s="105">
        <v>2347000</v>
      </c>
      <c r="F13" s="101"/>
      <c r="G13" s="102"/>
      <c r="H13" s="106"/>
      <c r="I13" s="129">
        <f t="shared" ref="I13:I21" si="0">SUM(D13:H13)</f>
        <v>2347000</v>
      </c>
      <c r="J13" s="106">
        <v>2475000</v>
      </c>
      <c r="K13" s="106">
        <v>2614000</v>
      </c>
      <c r="L13" s="97"/>
    </row>
    <row r="14" spans="1:137" s="103" customFormat="1" x14ac:dyDescent="0.2">
      <c r="A14" s="99"/>
      <c r="B14" s="96" t="s">
        <v>643</v>
      </c>
      <c r="C14" s="100"/>
      <c r="D14" s="101"/>
      <c r="E14" s="101"/>
      <c r="F14" s="101"/>
      <c r="G14" s="102"/>
      <c r="H14" s="106">
        <v>900000</v>
      </c>
      <c r="I14" s="129">
        <f t="shared" si="0"/>
        <v>900000</v>
      </c>
      <c r="J14" s="106"/>
      <c r="K14" s="106"/>
      <c r="L14" s="97"/>
    </row>
    <row r="15" spans="1:137" s="103" customFormat="1" x14ac:dyDescent="0.2">
      <c r="A15" s="99"/>
      <c r="B15" s="96" t="s">
        <v>654</v>
      </c>
      <c r="C15" s="100"/>
      <c r="D15" s="101"/>
      <c r="E15" s="101"/>
      <c r="F15" s="101"/>
      <c r="G15" s="102"/>
      <c r="H15" s="106">
        <v>500000</v>
      </c>
      <c r="I15" s="129">
        <f t="shared" si="0"/>
        <v>500000</v>
      </c>
      <c r="J15" s="106">
        <v>300000</v>
      </c>
      <c r="K15" s="106"/>
      <c r="L15" s="97"/>
    </row>
    <row r="16" spans="1:137" s="103" customFormat="1" x14ac:dyDescent="0.2">
      <c r="A16" s="99"/>
      <c r="B16" s="96" t="s">
        <v>655</v>
      </c>
      <c r="C16" s="100"/>
      <c r="D16" s="101"/>
      <c r="E16" s="101"/>
      <c r="F16" s="101"/>
      <c r="G16" s="102"/>
      <c r="H16" s="106">
        <v>700000</v>
      </c>
      <c r="I16" s="129">
        <f t="shared" si="0"/>
        <v>700000</v>
      </c>
      <c r="J16" s="106">
        <v>1000000</v>
      </c>
      <c r="K16" s="106">
        <v>1000000</v>
      </c>
      <c r="L16" s="97"/>
    </row>
    <row r="17" spans="1:137" s="103" customFormat="1" x14ac:dyDescent="0.2">
      <c r="A17" s="99"/>
      <c r="B17" s="96" t="s">
        <v>651</v>
      </c>
      <c r="C17" s="100"/>
      <c r="D17" s="101"/>
      <c r="E17" s="101"/>
      <c r="F17" s="101"/>
      <c r="G17" s="102"/>
      <c r="H17" s="106">
        <v>900000</v>
      </c>
      <c r="I17" s="129">
        <f t="shared" si="0"/>
        <v>900000</v>
      </c>
      <c r="J17" s="106"/>
      <c r="K17" s="106"/>
      <c r="L17" s="97"/>
    </row>
    <row r="18" spans="1:137" s="103" customFormat="1" x14ac:dyDescent="0.2">
      <c r="A18" s="99"/>
      <c r="B18" s="96" t="s">
        <v>652</v>
      </c>
      <c r="C18" s="100"/>
      <c r="D18" s="101"/>
      <c r="E18" s="101"/>
      <c r="F18" s="101"/>
      <c r="G18" s="102"/>
      <c r="H18" s="106">
        <v>900000</v>
      </c>
      <c r="I18" s="129">
        <f t="shared" si="0"/>
        <v>900000</v>
      </c>
      <c r="J18" s="106">
        <v>900000</v>
      </c>
      <c r="K18" s="106"/>
      <c r="L18" s="97"/>
    </row>
    <row r="19" spans="1:137" s="103" customFormat="1" x14ac:dyDescent="0.2">
      <c r="A19" s="99"/>
      <c r="B19" s="96" t="s">
        <v>794</v>
      </c>
      <c r="C19" s="100"/>
      <c r="D19" s="101"/>
      <c r="E19" s="101"/>
      <c r="F19" s="101"/>
      <c r="G19" s="102"/>
      <c r="H19" s="85">
        <v>1500000</v>
      </c>
      <c r="I19" s="129">
        <f t="shared" si="0"/>
        <v>1500000</v>
      </c>
      <c r="J19" s="106"/>
      <c r="K19" s="106"/>
      <c r="L19" s="97"/>
    </row>
    <row r="20" spans="1:137" s="88" customFormat="1" x14ac:dyDescent="0.2">
      <c r="A20" s="33"/>
      <c r="B20" s="96" t="s">
        <v>792</v>
      </c>
      <c r="C20" s="84"/>
      <c r="D20" s="86"/>
      <c r="E20" s="86"/>
      <c r="F20" s="86"/>
      <c r="G20" s="85"/>
      <c r="H20" s="85">
        <v>500000</v>
      </c>
      <c r="I20" s="129">
        <f t="shared" si="0"/>
        <v>500000</v>
      </c>
      <c r="J20" s="85"/>
      <c r="K20" s="106"/>
      <c r="L20" s="9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</row>
    <row r="21" spans="1:137" ht="13.5" thickBot="1" x14ac:dyDescent="0.25">
      <c r="A21" s="33"/>
      <c r="B21" s="41"/>
      <c r="D21" s="39">
        <v>0</v>
      </c>
      <c r="E21" s="39">
        <v>0</v>
      </c>
      <c r="F21" s="39">
        <v>0</v>
      </c>
      <c r="G21" s="40"/>
      <c r="H21" s="40">
        <v>0</v>
      </c>
      <c r="I21" s="129">
        <f t="shared" si="0"/>
        <v>0</v>
      </c>
      <c r="J21" s="40"/>
      <c r="K21" s="40"/>
      <c r="L21" s="77"/>
    </row>
    <row r="22" spans="1:137" ht="16.5" thickBot="1" x14ac:dyDescent="0.3">
      <c r="A22" s="33"/>
      <c r="B22" s="68" t="s">
        <v>178</v>
      </c>
      <c r="C22" s="57"/>
      <c r="D22" s="65">
        <f t="shared" ref="D22:K22" si="1">SUM(D12:D21)</f>
        <v>0</v>
      </c>
      <c r="E22" s="65">
        <f t="shared" si="1"/>
        <v>2347000</v>
      </c>
      <c r="F22" s="65">
        <f t="shared" si="1"/>
        <v>0</v>
      </c>
      <c r="G22" s="65">
        <f t="shared" si="1"/>
        <v>0</v>
      </c>
      <c r="H22" s="65">
        <f t="shared" si="1"/>
        <v>5900000</v>
      </c>
      <c r="I22" s="131">
        <f t="shared" si="1"/>
        <v>8247000</v>
      </c>
      <c r="J22" s="65">
        <f t="shared" si="1"/>
        <v>4675000</v>
      </c>
      <c r="K22" s="65">
        <f t="shared" si="1"/>
        <v>3614000</v>
      </c>
      <c r="L22" s="78"/>
      <c r="EG22" s="3"/>
    </row>
    <row r="23" spans="1:137" ht="15.75" x14ac:dyDescent="0.25">
      <c r="A23" s="33"/>
      <c r="B23" s="69"/>
      <c r="C23" s="51"/>
      <c r="D23" s="45"/>
      <c r="E23" s="45"/>
      <c r="F23" s="45"/>
      <c r="G23" s="45"/>
      <c r="H23" s="45"/>
      <c r="I23" s="132"/>
      <c r="J23" s="45"/>
      <c r="K23" s="45"/>
      <c r="L23" s="78"/>
      <c r="EG23" s="3"/>
    </row>
    <row r="24" spans="1:137" ht="18" x14ac:dyDescent="0.25">
      <c r="A24" s="33"/>
      <c r="B24" s="43" t="s">
        <v>647</v>
      </c>
      <c r="D24" s="39"/>
      <c r="E24" s="39"/>
      <c r="F24" s="39"/>
      <c r="G24" s="39"/>
      <c r="H24" s="39"/>
      <c r="I24" s="129"/>
      <c r="J24" s="39"/>
      <c r="K24" s="39"/>
      <c r="L24" s="77"/>
      <c r="EG24" s="3"/>
    </row>
    <row r="25" spans="1:137" ht="14.25" x14ac:dyDescent="0.2">
      <c r="A25" s="33"/>
      <c r="B25" s="46"/>
      <c r="D25" s="40"/>
      <c r="E25" s="40"/>
      <c r="F25" s="40"/>
      <c r="G25" s="40"/>
      <c r="H25" s="39"/>
      <c r="I25" s="129"/>
      <c r="J25" s="40"/>
      <c r="K25" s="40"/>
      <c r="L25" s="77"/>
      <c r="EG25" s="3"/>
    </row>
    <row r="26" spans="1:137" s="103" customFormat="1" x14ac:dyDescent="0.2">
      <c r="A26" s="99"/>
      <c r="B26" s="96" t="s">
        <v>649</v>
      </c>
      <c r="C26" s="100"/>
      <c r="D26" s="105"/>
      <c r="E26" s="101"/>
      <c r="F26" s="101"/>
      <c r="G26" s="105"/>
      <c r="H26" s="105">
        <v>4000000</v>
      </c>
      <c r="I26" s="129">
        <f t="shared" ref="I26:I31" si="2">SUM(D26:H26)</f>
        <v>4000000</v>
      </c>
      <c r="J26" s="105"/>
      <c r="K26" s="106"/>
      <c r="L26" s="97"/>
    </row>
    <row r="27" spans="1:137" s="103" customFormat="1" x14ac:dyDescent="0.2">
      <c r="A27" s="99"/>
      <c r="B27" s="96" t="s">
        <v>650</v>
      </c>
      <c r="C27" s="100"/>
      <c r="D27" s="105"/>
      <c r="E27" s="101"/>
      <c r="F27" s="101"/>
      <c r="G27" s="105"/>
      <c r="H27" s="105">
        <v>5000000</v>
      </c>
      <c r="I27" s="129">
        <f t="shared" si="2"/>
        <v>5000000</v>
      </c>
      <c r="J27" s="105">
        <v>6912710</v>
      </c>
      <c r="K27" s="106">
        <v>6003795</v>
      </c>
      <c r="L27" s="97"/>
    </row>
    <row r="28" spans="1:137" s="103" customFormat="1" x14ac:dyDescent="0.2">
      <c r="A28" s="99"/>
      <c r="B28" s="113" t="s">
        <v>644</v>
      </c>
      <c r="C28" s="100"/>
      <c r="D28" s="105"/>
      <c r="E28" s="101"/>
      <c r="F28" s="101"/>
      <c r="G28" s="105"/>
      <c r="H28" s="105">
        <v>2600000</v>
      </c>
      <c r="I28" s="129">
        <f t="shared" si="2"/>
        <v>2600000</v>
      </c>
      <c r="J28" s="105"/>
      <c r="K28" s="106"/>
      <c r="L28" s="97"/>
    </row>
    <row r="29" spans="1:137" s="103" customFormat="1" x14ac:dyDescent="0.2">
      <c r="A29" s="99"/>
      <c r="B29" s="96" t="s">
        <v>658</v>
      </c>
      <c r="C29" s="100"/>
      <c r="D29" s="105"/>
      <c r="E29" s="101"/>
      <c r="F29" s="101"/>
      <c r="G29" s="105"/>
      <c r="H29" s="105"/>
      <c r="I29" s="129">
        <f t="shared" si="2"/>
        <v>0</v>
      </c>
      <c r="J29" s="105">
        <v>0</v>
      </c>
      <c r="K29" s="106">
        <v>5000000</v>
      </c>
      <c r="L29" s="97"/>
    </row>
    <row r="30" spans="1:137" s="103" customFormat="1" x14ac:dyDescent="0.2">
      <c r="A30" s="99"/>
      <c r="B30" s="96" t="s">
        <v>659</v>
      </c>
      <c r="C30" s="100"/>
      <c r="D30" s="101"/>
      <c r="E30" s="101"/>
      <c r="F30" s="101"/>
      <c r="G30" s="101"/>
      <c r="H30" s="105">
        <v>0</v>
      </c>
      <c r="I30" s="129">
        <f t="shared" si="2"/>
        <v>0</v>
      </c>
      <c r="J30" s="105">
        <v>1000000</v>
      </c>
      <c r="K30" s="106">
        <v>6181000</v>
      </c>
      <c r="L30" s="97"/>
    </row>
    <row r="31" spans="1:137" ht="13.5" thickBot="1" x14ac:dyDescent="0.25">
      <c r="A31" s="33"/>
      <c r="B31" s="95"/>
      <c r="D31" s="39"/>
      <c r="E31" s="39"/>
      <c r="F31" s="39"/>
      <c r="G31" s="39"/>
      <c r="H31" s="39"/>
      <c r="I31" s="129">
        <f t="shared" si="2"/>
        <v>0</v>
      </c>
      <c r="J31" s="39"/>
      <c r="K31" s="39"/>
      <c r="L31" s="77"/>
      <c r="EG31" s="3"/>
    </row>
    <row r="32" spans="1:137" ht="16.5" thickBot="1" x14ac:dyDescent="0.3">
      <c r="A32" s="33"/>
      <c r="B32" s="68" t="s">
        <v>7</v>
      </c>
      <c r="C32" s="57"/>
      <c r="D32" s="65">
        <f>SUM(D26:D31)</f>
        <v>0</v>
      </c>
      <c r="E32" s="65"/>
      <c r="F32" s="65"/>
      <c r="G32" s="65">
        <f>SUM(G24:G31)</f>
        <v>0</v>
      </c>
      <c r="H32" s="65">
        <f>SUM(H25:H31)</f>
        <v>11600000</v>
      </c>
      <c r="I32" s="131">
        <f>SUM(I25:I31)</f>
        <v>11600000</v>
      </c>
      <c r="J32" s="65">
        <f>SUM(J25:J31)</f>
        <v>7912710</v>
      </c>
      <c r="K32" s="65">
        <f>SUM(K25:K31)</f>
        <v>17184795</v>
      </c>
      <c r="L32" s="77"/>
      <c r="EG32" s="3"/>
    </row>
    <row r="33" spans="1:137" ht="15.75" x14ac:dyDescent="0.25">
      <c r="A33" s="33"/>
      <c r="B33" s="47"/>
      <c r="D33" s="39"/>
      <c r="E33" s="39"/>
      <c r="F33" s="39"/>
      <c r="G33" s="39"/>
      <c r="H33" s="39"/>
      <c r="I33" s="129"/>
      <c r="J33" s="39"/>
      <c r="K33" s="39"/>
      <c r="L33" s="77"/>
      <c r="EG33" s="3"/>
    </row>
    <row r="34" spans="1:137" ht="18" x14ac:dyDescent="0.25">
      <c r="A34" s="33"/>
      <c r="B34" s="43" t="s">
        <v>115</v>
      </c>
      <c r="D34" s="39"/>
      <c r="E34" s="39"/>
      <c r="F34" s="39"/>
      <c r="G34" s="39"/>
      <c r="H34" s="39"/>
      <c r="I34" s="129"/>
      <c r="J34" s="39"/>
      <c r="K34" s="39"/>
      <c r="L34" s="77"/>
      <c r="EG34" s="3"/>
    </row>
    <row r="35" spans="1:137" ht="15" customHeight="1" x14ac:dyDescent="0.2">
      <c r="A35" s="33"/>
      <c r="B35" s="38"/>
      <c r="D35" s="39"/>
      <c r="E35" s="39"/>
      <c r="F35" s="39"/>
      <c r="G35" s="39"/>
      <c r="H35" s="39"/>
      <c r="I35" s="129"/>
      <c r="J35" s="39"/>
      <c r="K35" s="39"/>
      <c r="L35" s="77"/>
      <c r="EG35" s="3"/>
    </row>
    <row r="36" spans="1:137" ht="15" customHeight="1" x14ac:dyDescent="0.2">
      <c r="A36" s="33"/>
      <c r="B36" s="113" t="s">
        <v>644</v>
      </c>
      <c r="C36" s="109"/>
      <c r="D36" s="107"/>
      <c r="E36" s="107"/>
      <c r="F36" s="107"/>
      <c r="G36" s="107"/>
      <c r="H36" s="107">
        <v>2600000</v>
      </c>
      <c r="I36" s="129">
        <f t="shared" ref="I36:I42" si="3">SUM(D36:H36)</f>
        <v>2600000</v>
      </c>
      <c r="J36" s="107"/>
      <c r="K36" s="106"/>
      <c r="L36" s="98"/>
      <c r="EG36" s="3"/>
    </row>
    <row r="37" spans="1:137" s="88" customFormat="1" ht="15" customHeight="1" x14ac:dyDescent="0.2">
      <c r="A37" s="33"/>
      <c r="B37" s="96" t="s">
        <v>648</v>
      </c>
      <c r="C37" s="84"/>
      <c r="D37" s="86"/>
      <c r="E37" s="86"/>
      <c r="F37" s="86"/>
      <c r="G37" s="86"/>
      <c r="H37" s="86">
        <v>0</v>
      </c>
      <c r="I37" s="129">
        <f t="shared" si="3"/>
        <v>0</v>
      </c>
      <c r="J37" s="105">
        <v>600000</v>
      </c>
      <c r="K37" s="106"/>
      <c r="L37" s="98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</row>
    <row r="38" spans="1:137" s="88" customFormat="1" ht="15" customHeight="1" x14ac:dyDescent="0.2">
      <c r="A38" s="33"/>
      <c r="B38" s="96" t="s">
        <v>656</v>
      </c>
      <c r="C38" s="84"/>
      <c r="D38" s="86"/>
      <c r="E38" s="86"/>
      <c r="F38" s="86"/>
      <c r="G38" s="86"/>
      <c r="H38" s="105">
        <v>0</v>
      </c>
      <c r="I38" s="129">
        <f t="shared" si="3"/>
        <v>0</v>
      </c>
      <c r="J38" s="86">
        <v>6000000</v>
      </c>
      <c r="K38" s="106"/>
      <c r="L38" s="9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</row>
    <row r="39" spans="1:137" s="88" customFormat="1" ht="15" customHeight="1" x14ac:dyDescent="0.2">
      <c r="A39" s="33"/>
      <c r="B39" s="96" t="s">
        <v>657</v>
      </c>
      <c r="C39" s="84"/>
      <c r="D39" s="86"/>
      <c r="E39" s="86"/>
      <c r="F39" s="86"/>
      <c r="G39" s="86"/>
      <c r="H39" s="86">
        <v>2500000</v>
      </c>
      <c r="I39" s="129">
        <f t="shared" si="3"/>
        <v>2500000</v>
      </c>
      <c r="J39" s="86">
        <v>4000000</v>
      </c>
      <c r="K39" s="106"/>
      <c r="L39" s="9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</row>
    <row r="40" spans="1:137" s="103" customFormat="1" x14ac:dyDescent="0.2">
      <c r="A40" s="99"/>
      <c r="B40" s="96" t="s">
        <v>665</v>
      </c>
      <c r="C40" s="100"/>
      <c r="D40" s="101"/>
      <c r="E40" s="101"/>
      <c r="F40" s="101"/>
      <c r="G40" s="102"/>
      <c r="H40" s="106">
        <v>1500000</v>
      </c>
      <c r="I40" s="129">
        <f t="shared" si="3"/>
        <v>1500000</v>
      </c>
      <c r="J40" s="106">
        <v>0</v>
      </c>
      <c r="K40" s="106"/>
      <c r="L40" s="97"/>
    </row>
    <row r="41" spans="1:137" s="103" customFormat="1" x14ac:dyDescent="0.2">
      <c r="A41" s="99"/>
      <c r="B41" s="96"/>
      <c r="C41" s="100"/>
      <c r="D41" s="101"/>
      <c r="E41" s="101"/>
      <c r="F41" s="101"/>
      <c r="G41" s="102"/>
      <c r="H41" s="106"/>
      <c r="I41" s="129"/>
      <c r="J41" s="106"/>
      <c r="K41" s="106"/>
      <c r="L41" s="97"/>
    </row>
    <row r="42" spans="1:137" ht="15" thickBot="1" x14ac:dyDescent="0.25">
      <c r="A42" s="33"/>
      <c r="B42" s="46"/>
      <c r="D42" s="39"/>
      <c r="E42" s="39"/>
      <c r="F42" s="39"/>
      <c r="G42" s="39"/>
      <c r="H42" s="39"/>
      <c r="I42" s="129">
        <f t="shared" si="3"/>
        <v>0</v>
      </c>
      <c r="J42" s="39"/>
      <c r="K42" s="39"/>
      <c r="L42" s="77"/>
      <c r="EG42" s="3"/>
    </row>
    <row r="43" spans="1:137" s="44" customFormat="1" ht="16.5" thickBot="1" x14ac:dyDescent="0.3">
      <c r="A43" s="33"/>
      <c r="B43" s="68" t="s">
        <v>8</v>
      </c>
      <c r="C43" s="57"/>
      <c r="D43" s="65">
        <f t="shared" ref="D43:K43" si="4">SUM(D36:D42)</f>
        <v>0</v>
      </c>
      <c r="E43" s="65">
        <f t="shared" si="4"/>
        <v>0</v>
      </c>
      <c r="F43" s="65">
        <f t="shared" si="4"/>
        <v>0</v>
      </c>
      <c r="G43" s="65">
        <f t="shared" si="4"/>
        <v>0</v>
      </c>
      <c r="H43" s="65">
        <f t="shared" si="4"/>
        <v>6600000</v>
      </c>
      <c r="I43" s="131">
        <f t="shared" si="4"/>
        <v>6600000</v>
      </c>
      <c r="J43" s="65">
        <f t="shared" si="4"/>
        <v>10600000</v>
      </c>
      <c r="K43" s="65">
        <f t="shared" si="4"/>
        <v>0</v>
      </c>
      <c r="L43" s="77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</row>
    <row r="44" spans="1:137" s="44" customFormat="1" ht="15.75" x14ac:dyDescent="0.25">
      <c r="A44" s="33"/>
      <c r="B44" s="47"/>
      <c r="C44" s="25"/>
      <c r="D44" s="39"/>
      <c r="E44" s="39"/>
      <c r="F44" s="39"/>
      <c r="G44" s="39"/>
      <c r="H44" s="39"/>
      <c r="I44" s="129"/>
      <c r="J44" s="39"/>
      <c r="K44" s="39"/>
      <c r="L44" s="77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</row>
    <row r="45" spans="1:137" ht="18" x14ac:dyDescent="0.25">
      <c r="A45" s="33"/>
      <c r="B45" s="43" t="s">
        <v>116</v>
      </c>
      <c r="D45" s="39"/>
      <c r="E45" s="39"/>
      <c r="F45" s="39"/>
      <c r="G45" s="39"/>
      <c r="H45" s="39"/>
      <c r="I45" s="129"/>
      <c r="J45" s="39"/>
      <c r="K45" s="39"/>
      <c r="L45" s="77"/>
      <c r="EG45" s="3"/>
    </row>
    <row r="46" spans="1:137" ht="15" customHeight="1" x14ac:dyDescent="0.2">
      <c r="A46" s="33"/>
      <c r="B46" s="38"/>
      <c r="D46" s="39"/>
      <c r="E46" s="39"/>
      <c r="F46" s="39"/>
      <c r="G46" s="39"/>
      <c r="H46" s="39"/>
      <c r="I46" s="129"/>
      <c r="J46" s="39"/>
      <c r="K46" s="39"/>
      <c r="L46" s="77"/>
      <c r="EG46" s="3"/>
    </row>
    <row r="47" spans="1:137" x14ac:dyDescent="0.2">
      <c r="A47" s="33"/>
      <c r="B47" s="113" t="s">
        <v>653</v>
      </c>
      <c r="C47" s="108"/>
      <c r="D47" s="107"/>
      <c r="E47" s="107"/>
      <c r="F47" s="107"/>
      <c r="G47" s="107"/>
      <c r="H47" s="107">
        <v>2000000</v>
      </c>
      <c r="I47" s="129">
        <f t="shared" ref="I47:I53" si="5">SUM(D47:H47)</f>
        <v>2000000</v>
      </c>
      <c r="J47" s="107"/>
      <c r="K47" s="106"/>
      <c r="L47" s="98"/>
      <c r="EG47" s="3"/>
    </row>
    <row r="48" spans="1:137" x14ac:dyDescent="0.2">
      <c r="A48" s="33"/>
      <c r="B48" s="113" t="s">
        <v>645</v>
      </c>
      <c r="C48" s="108"/>
      <c r="D48" s="107"/>
      <c r="E48" s="107"/>
      <c r="F48" s="107"/>
      <c r="G48" s="107"/>
      <c r="H48" s="107">
        <v>1500000</v>
      </c>
      <c r="I48" s="129">
        <f t="shared" si="5"/>
        <v>1500000</v>
      </c>
      <c r="J48" s="107"/>
      <c r="K48" s="106"/>
      <c r="L48" s="98"/>
      <c r="EG48" s="3"/>
    </row>
    <row r="49" spans="1:137" x14ac:dyDescent="0.2">
      <c r="A49" s="33"/>
      <c r="B49" s="113" t="s">
        <v>662</v>
      </c>
      <c r="C49" s="108"/>
      <c r="D49" s="107"/>
      <c r="E49" s="107"/>
      <c r="F49" s="107"/>
      <c r="G49" s="107"/>
      <c r="H49" s="107">
        <v>0</v>
      </c>
      <c r="I49" s="129">
        <f t="shared" si="5"/>
        <v>0</v>
      </c>
      <c r="J49" s="107">
        <v>2000000</v>
      </c>
      <c r="K49" s="106"/>
      <c r="L49" s="98"/>
      <c r="EG49" s="3"/>
    </row>
    <row r="50" spans="1:137" x14ac:dyDescent="0.2">
      <c r="A50" s="33"/>
      <c r="B50" s="96" t="s">
        <v>660</v>
      </c>
      <c r="C50" s="108"/>
      <c r="D50" s="107"/>
      <c r="E50" s="107"/>
      <c r="F50" s="107"/>
      <c r="G50" s="107"/>
      <c r="H50" s="107">
        <v>5000000</v>
      </c>
      <c r="I50" s="129">
        <f t="shared" si="5"/>
        <v>5000000</v>
      </c>
      <c r="J50" s="107"/>
      <c r="K50" s="106"/>
      <c r="L50" s="98"/>
      <c r="EG50" s="3"/>
    </row>
    <row r="51" spans="1:137" x14ac:dyDescent="0.2">
      <c r="A51" s="33"/>
      <c r="B51" s="96" t="s">
        <v>793</v>
      </c>
      <c r="C51" s="108"/>
      <c r="D51" s="107"/>
      <c r="E51" s="107"/>
      <c r="F51" s="107"/>
      <c r="G51" s="107"/>
      <c r="H51" s="107">
        <v>3000000</v>
      </c>
      <c r="I51" s="129">
        <f t="shared" si="5"/>
        <v>3000000</v>
      </c>
      <c r="J51" s="107"/>
      <c r="K51" s="106"/>
      <c r="L51" s="98"/>
      <c r="EG51" s="3"/>
    </row>
    <row r="52" spans="1:137" s="88" customFormat="1" x14ac:dyDescent="0.2">
      <c r="A52" s="33"/>
      <c r="B52" s="113"/>
      <c r="C52" s="89"/>
      <c r="D52" s="86"/>
      <c r="E52" s="86"/>
      <c r="F52" s="86"/>
      <c r="G52" s="86"/>
      <c r="H52" s="86">
        <v>0</v>
      </c>
      <c r="I52" s="129">
        <f t="shared" si="5"/>
        <v>0</v>
      </c>
      <c r="J52" s="86"/>
      <c r="K52" s="106"/>
      <c r="L52" s="98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</row>
    <row r="53" spans="1:137" ht="15" thickBot="1" x14ac:dyDescent="0.25">
      <c r="A53" s="33"/>
      <c r="B53" s="46"/>
      <c r="C53" s="36"/>
      <c r="D53" s="39"/>
      <c r="E53" s="39"/>
      <c r="F53" s="39"/>
      <c r="G53" s="39"/>
      <c r="H53" s="39"/>
      <c r="I53" s="129">
        <f t="shared" si="5"/>
        <v>0</v>
      </c>
      <c r="J53" s="125"/>
      <c r="K53" s="39"/>
      <c r="L53" s="77"/>
      <c r="EG53" s="3"/>
    </row>
    <row r="54" spans="1:137" ht="16.5" thickBot="1" x14ac:dyDescent="0.3">
      <c r="A54" s="33"/>
      <c r="B54" s="70" t="s">
        <v>9</v>
      </c>
      <c r="C54" s="62"/>
      <c r="D54" s="65">
        <f t="shared" ref="D54:K54" si="6">SUM(D47:D53)</f>
        <v>0</v>
      </c>
      <c r="E54" s="65">
        <f t="shared" si="6"/>
        <v>0</v>
      </c>
      <c r="F54" s="65">
        <f t="shared" si="6"/>
        <v>0</v>
      </c>
      <c r="G54" s="65">
        <f t="shared" si="6"/>
        <v>0</v>
      </c>
      <c r="H54" s="65">
        <f t="shared" si="6"/>
        <v>11500000</v>
      </c>
      <c r="I54" s="131">
        <f t="shared" si="6"/>
        <v>11500000</v>
      </c>
      <c r="J54" s="65">
        <f t="shared" si="6"/>
        <v>2000000</v>
      </c>
      <c r="K54" s="65">
        <f t="shared" si="6"/>
        <v>0</v>
      </c>
      <c r="L54" s="77"/>
      <c r="EG54" s="3"/>
    </row>
    <row r="55" spans="1:137" ht="15.75" x14ac:dyDescent="0.25">
      <c r="A55" s="33"/>
      <c r="B55" s="55"/>
      <c r="C55" s="67"/>
      <c r="D55" s="45"/>
      <c r="E55" s="45"/>
      <c r="F55" s="45"/>
      <c r="G55" s="45"/>
      <c r="H55" s="45"/>
      <c r="I55" s="132"/>
      <c r="J55" s="45"/>
      <c r="K55" s="45"/>
      <c r="L55" s="77"/>
      <c r="EG55" s="3"/>
    </row>
    <row r="56" spans="1:137" ht="15.75" x14ac:dyDescent="0.25">
      <c r="A56" s="33"/>
      <c r="B56" s="55"/>
      <c r="C56" s="67"/>
      <c r="D56" s="45"/>
      <c r="E56" s="45"/>
      <c r="F56" s="45"/>
      <c r="G56" s="45"/>
      <c r="H56" s="45"/>
      <c r="I56" s="132"/>
      <c r="J56" s="45"/>
      <c r="K56" s="45"/>
      <c r="L56" s="79"/>
      <c r="EG56" s="3"/>
    </row>
    <row r="57" spans="1:137" ht="18" x14ac:dyDescent="0.25">
      <c r="A57" s="33"/>
      <c r="B57" s="56" t="s">
        <v>10</v>
      </c>
      <c r="C57" s="67"/>
      <c r="D57" s="39"/>
      <c r="E57" s="39"/>
      <c r="F57" s="39"/>
      <c r="G57" s="39"/>
      <c r="H57" s="39"/>
      <c r="I57" s="129"/>
      <c r="J57" s="39"/>
      <c r="K57" s="39"/>
      <c r="L57" s="77"/>
      <c r="EG57" s="3"/>
    </row>
    <row r="58" spans="1:137" ht="18" x14ac:dyDescent="0.25">
      <c r="A58" s="33"/>
      <c r="B58" s="56"/>
      <c r="C58" s="67"/>
      <c r="D58" s="39"/>
      <c r="E58" s="39"/>
      <c r="F58" s="39"/>
      <c r="G58" s="39"/>
      <c r="H58" s="39"/>
      <c r="I58" s="129"/>
      <c r="J58" s="39"/>
      <c r="K58" s="39"/>
      <c r="L58" s="77"/>
      <c r="EG58" s="3"/>
    </row>
    <row r="59" spans="1:137" s="103" customFormat="1" x14ac:dyDescent="0.2">
      <c r="A59" s="99"/>
      <c r="B59" s="113" t="s">
        <v>644</v>
      </c>
      <c r="C59" s="104"/>
      <c r="D59" s="101"/>
      <c r="E59" s="101"/>
      <c r="F59" s="101"/>
      <c r="G59" s="101"/>
      <c r="H59" s="105">
        <v>2600000</v>
      </c>
      <c r="I59" s="129">
        <f t="shared" ref="I59:I63" si="7">SUM(D59:H59)</f>
        <v>2600000</v>
      </c>
      <c r="J59" s="105"/>
      <c r="K59" s="106"/>
      <c r="L59" s="98"/>
    </row>
    <row r="60" spans="1:137" s="103" customFormat="1" x14ac:dyDescent="0.2">
      <c r="A60" s="99"/>
      <c r="B60" s="113" t="s">
        <v>646</v>
      </c>
      <c r="C60" s="104"/>
      <c r="D60" s="101"/>
      <c r="E60" s="101"/>
      <c r="F60" s="101"/>
      <c r="G60" s="101"/>
      <c r="H60" s="105">
        <v>4000000</v>
      </c>
      <c r="I60" s="129">
        <f t="shared" si="7"/>
        <v>4000000</v>
      </c>
      <c r="J60" s="105"/>
      <c r="K60" s="106"/>
      <c r="L60" s="98"/>
    </row>
    <row r="61" spans="1:137" s="103" customFormat="1" x14ac:dyDescent="0.2">
      <c r="A61" s="99"/>
      <c r="B61" s="113" t="s">
        <v>664</v>
      </c>
      <c r="C61" s="104"/>
      <c r="D61" s="101"/>
      <c r="E61" s="101"/>
      <c r="F61" s="101"/>
      <c r="G61" s="101"/>
      <c r="H61" s="105">
        <v>0</v>
      </c>
      <c r="I61" s="129">
        <f t="shared" si="7"/>
        <v>0</v>
      </c>
      <c r="J61" s="105"/>
      <c r="K61" s="106"/>
      <c r="L61" s="98"/>
    </row>
    <row r="62" spans="1:137" s="103" customFormat="1" x14ac:dyDescent="0.2">
      <c r="A62" s="99"/>
      <c r="B62" s="113"/>
      <c r="C62" s="104"/>
      <c r="D62" s="101"/>
      <c r="E62" s="101"/>
      <c r="F62" s="101"/>
      <c r="G62" s="101"/>
      <c r="H62" s="105"/>
      <c r="I62" s="129">
        <f t="shared" si="7"/>
        <v>0</v>
      </c>
      <c r="J62" s="105"/>
      <c r="K62" s="106"/>
      <c r="L62" s="98"/>
    </row>
    <row r="63" spans="1:137" s="103" customFormat="1" x14ac:dyDescent="0.2">
      <c r="A63" s="99"/>
      <c r="B63" s="96"/>
      <c r="C63" s="104"/>
      <c r="D63" s="101"/>
      <c r="E63" s="101"/>
      <c r="F63" s="101"/>
      <c r="G63" s="101"/>
      <c r="H63" s="105">
        <v>0</v>
      </c>
      <c r="I63" s="129">
        <f t="shared" si="7"/>
        <v>0</v>
      </c>
      <c r="J63" s="105">
        <v>0</v>
      </c>
      <c r="K63" s="106">
        <v>0</v>
      </c>
      <c r="L63" s="98"/>
    </row>
    <row r="64" spans="1:137" s="124" customFormat="1" ht="13.5" thickBot="1" x14ac:dyDescent="0.25">
      <c r="A64" s="117"/>
      <c r="B64" s="118"/>
      <c r="C64" s="119"/>
      <c r="D64" s="120"/>
      <c r="E64" s="120"/>
      <c r="F64" s="120"/>
      <c r="G64" s="120"/>
      <c r="H64" s="120"/>
      <c r="I64" s="130"/>
      <c r="J64" s="120"/>
      <c r="K64" s="121"/>
      <c r="L64" s="122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</row>
    <row r="65" spans="1:137" ht="16.5" thickBot="1" x14ac:dyDescent="0.3">
      <c r="A65" s="33"/>
      <c r="B65" s="70" t="s">
        <v>11</v>
      </c>
      <c r="C65" s="71"/>
      <c r="D65" s="65">
        <f t="shared" ref="D65:K65" si="8">SUM(D59:D64)</f>
        <v>0</v>
      </c>
      <c r="E65" s="65">
        <f t="shared" si="8"/>
        <v>0</v>
      </c>
      <c r="F65" s="65"/>
      <c r="G65" s="65">
        <f t="shared" si="8"/>
        <v>0</v>
      </c>
      <c r="H65" s="65">
        <f t="shared" si="8"/>
        <v>6600000</v>
      </c>
      <c r="I65" s="131">
        <f t="shared" si="8"/>
        <v>6600000</v>
      </c>
      <c r="J65" s="65">
        <f t="shared" si="8"/>
        <v>0</v>
      </c>
      <c r="K65" s="65">
        <f t="shared" si="8"/>
        <v>0</v>
      </c>
      <c r="L65" s="77"/>
      <c r="EG65" s="3"/>
    </row>
    <row r="66" spans="1:137" ht="15.75" x14ac:dyDescent="0.25">
      <c r="A66" s="33"/>
      <c r="B66" s="55"/>
      <c r="C66" s="67"/>
      <c r="D66" s="39"/>
      <c r="E66" s="39"/>
      <c r="F66" s="39"/>
      <c r="G66" s="39"/>
      <c r="H66" s="39"/>
      <c r="I66" s="129"/>
      <c r="J66" s="39"/>
      <c r="K66" s="39"/>
      <c r="L66" s="77"/>
      <c r="EG66" s="3"/>
    </row>
    <row r="67" spans="1:137" ht="15" thickBot="1" x14ac:dyDescent="0.25">
      <c r="A67" s="33"/>
      <c r="B67" s="49"/>
      <c r="C67" s="36"/>
      <c r="D67" s="39"/>
      <c r="E67" s="39"/>
      <c r="F67" s="39"/>
      <c r="G67" s="39"/>
      <c r="H67" s="114">
        <v>0</v>
      </c>
      <c r="I67" s="129">
        <f t="shared" ref="I67" si="9">SUM(D67:H67)</f>
        <v>0</v>
      </c>
      <c r="J67" s="110"/>
      <c r="K67" s="110"/>
      <c r="L67" s="77"/>
      <c r="EG67" s="3"/>
    </row>
    <row r="68" spans="1:137" ht="15.75" customHeight="1" thickBot="1" x14ac:dyDescent="0.3">
      <c r="A68" s="33"/>
      <c r="B68" s="70"/>
      <c r="C68" s="62"/>
      <c r="D68" s="65">
        <f t="shared" ref="D68:K68" si="10">SUM(D67:D67)</f>
        <v>0</v>
      </c>
      <c r="E68" s="65">
        <f t="shared" si="10"/>
        <v>0</v>
      </c>
      <c r="F68" s="65">
        <f t="shared" si="10"/>
        <v>0</v>
      </c>
      <c r="G68" s="65">
        <f t="shared" si="10"/>
        <v>0</v>
      </c>
      <c r="H68" s="65">
        <f t="shared" si="10"/>
        <v>0</v>
      </c>
      <c r="I68" s="131">
        <f t="shared" si="10"/>
        <v>0</v>
      </c>
      <c r="J68" s="65">
        <f t="shared" si="10"/>
        <v>0</v>
      </c>
      <c r="K68" s="65">
        <f t="shared" si="10"/>
        <v>0</v>
      </c>
      <c r="L68" s="77"/>
      <c r="EG68" s="3"/>
    </row>
    <row r="69" spans="1:137" ht="21" thickBot="1" x14ac:dyDescent="0.25">
      <c r="A69" s="33"/>
      <c r="B69" s="72" t="s">
        <v>178</v>
      </c>
      <c r="C69" s="74"/>
      <c r="D69" s="73">
        <f t="shared" ref="D69:K69" si="11">D68+D65+D54+D43+D32+D22</f>
        <v>0</v>
      </c>
      <c r="E69" s="73">
        <f t="shared" si="11"/>
        <v>2347000</v>
      </c>
      <c r="F69" s="73">
        <f t="shared" si="11"/>
        <v>0</v>
      </c>
      <c r="G69" s="73">
        <f t="shared" si="11"/>
        <v>0</v>
      </c>
      <c r="H69" s="73">
        <f t="shared" si="11"/>
        <v>42200000</v>
      </c>
      <c r="I69" s="73">
        <f t="shared" si="11"/>
        <v>44547000</v>
      </c>
      <c r="J69" s="73">
        <f t="shared" si="11"/>
        <v>25187710</v>
      </c>
      <c r="K69" s="73">
        <f t="shared" si="11"/>
        <v>20798795</v>
      </c>
      <c r="L69" s="80"/>
      <c r="EG69" s="3"/>
    </row>
    <row r="70" spans="1:137" x14ac:dyDescent="0.2">
      <c r="A70" s="33"/>
      <c r="B70" s="58"/>
      <c r="C70" s="53"/>
      <c r="D70" s="54"/>
      <c r="E70" s="32"/>
      <c r="F70" s="32"/>
      <c r="G70" s="32"/>
      <c r="H70" s="32"/>
      <c r="I70" s="54"/>
      <c r="J70" s="32"/>
      <c r="K70" s="54"/>
      <c r="L70" s="81"/>
    </row>
    <row r="71" spans="1:137" x14ac:dyDescent="0.2">
      <c r="A71" s="33"/>
      <c r="B71" s="94" t="s">
        <v>1</v>
      </c>
      <c r="D71" s="32"/>
      <c r="E71" s="32"/>
      <c r="F71" s="32"/>
      <c r="G71" s="32"/>
      <c r="H71" s="32">
        <f>'OPERATING BUDGET'!C229+'CAP BUD'!H69+'CAP BUD'!G69</f>
        <v>26297326.675775021</v>
      </c>
      <c r="I71" s="32">
        <f>'OPERATING BUDGET'!C229+I69</f>
        <v>28644326.675775021</v>
      </c>
      <c r="J71" s="32">
        <f>'OPERATING BUDGET'!D229+J69</f>
        <v>11204682</v>
      </c>
      <c r="K71" s="32">
        <f>'OPERATING BUDGET'!E229+K69</f>
        <v>13452508</v>
      </c>
      <c r="L71" s="82"/>
    </row>
    <row r="72" spans="1:137" x14ac:dyDescent="0.2">
      <c r="A72" s="33"/>
      <c r="B72" s="21"/>
      <c r="D72" s="32"/>
      <c r="E72" s="32"/>
      <c r="F72" s="32"/>
      <c r="G72" s="32">
        <f>I71-10595487</f>
        <v>18048839.675775021</v>
      </c>
      <c r="H72" s="32"/>
      <c r="I72" s="32">
        <f>10595487-I71</f>
        <v>-18048839.675775021</v>
      </c>
      <c r="J72" s="32">
        <f>J71-11204682</f>
        <v>0</v>
      </c>
      <c r="K72" s="32">
        <f>K71-13452508</f>
        <v>0</v>
      </c>
      <c r="L72" s="82"/>
    </row>
    <row r="73" spans="1:137" ht="18" x14ac:dyDescent="0.25">
      <c r="A73" s="33"/>
      <c r="B73" s="75"/>
      <c r="D73" s="32"/>
      <c r="E73" s="32"/>
      <c r="F73" s="32"/>
      <c r="G73" s="32"/>
      <c r="H73" s="32"/>
      <c r="I73" s="32"/>
      <c r="J73" s="32"/>
      <c r="K73" s="32"/>
      <c r="L73" s="82"/>
    </row>
    <row r="74" spans="1:137" x14ac:dyDescent="0.2">
      <c r="A74" s="33"/>
      <c r="B74" s="26"/>
      <c r="D74" s="32">
        <f t="shared" ref="D74:K74" si="12">SUM(D11:D68)/2</f>
        <v>0</v>
      </c>
      <c r="E74" s="32">
        <f t="shared" si="12"/>
        <v>2347000</v>
      </c>
      <c r="F74" s="32">
        <f t="shared" si="12"/>
        <v>0</v>
      </c>
      <c r="G74" s="32">
        <f t="shared" si="12"/>
        <v>0</v>
      </c>
      <c r="H74" s="32">
        <f t="shared" si="12"/>
        <v>42200000</v>
      </c>
      <c r="I74" s="32">
        <f t="shared" si="12"/>
        <v>44547000</v>
      </c>
      <c r="J74" s="32">
        <f t="shared" si="12"/>
        <v>25187710</v>
      </c>
      <c r="K74" s="32">
        <f t="shared" si="12"/>
        <v>20798795</v>
      </c>
      <c r="L74" s="82"/>
    </row>
    <row r="75" spans="1:137" x14ac:dyDescent="0.2">
      <c r="A75" s="33"/>
      <c r="B75" s="26"/>
      <c r="D75" s="66">
        <f t="shared" ref="D75:K75" si="13">D69-D74</f>
        <v>0</v>
      </c>
      <c r="E75" s="66">
        <f t="shared" si="13"/>
        <v>0</v>
      </c>
      <c r="F75" s="66">
        <f t="shared" si="13"/>
        <v>0</v>
      </c>
      <c r="G75" s="66">
        <f t="shared" si="13"/>
        <v>0</v>
      </c>
      <c r="H75" s="66">
        <f t="shared" si="13"/>
        <v>0</v>
      </c>
      <c r="I75" s="66">
        <f t="shared" si="13"/>
        <v>0</v>
      </c>
      <c r="J75" s="66">
        <f t="shared" si="13"/>
        <v>0</v>
      </c>
      <c r="K75" s="66">
        <f t="shared" si="13"/>
        <v>0</v>
      </c>
      <c r="L75" s="82"/>
    </row>
    <row r="76" spans="1:137" x14ac:dyDescent="0.2">
      <c r="A76" s="33"/>
      <c r="B76" s="26"/>
      <c r="D76" s="32"/>
      <c r="E76" s="32"/>
      <c r="F76" s="32"/>
      <c r="G76" s="32"/>
      <c r="H76" s="32"/>
      <c r="I76" s="66"/>
      <c r="J76" s="32"/>
      <c r="K76" s="32"/>
      <c r="L76" s="82"/>
    </row>
    <row r="77" spans="1:137" x14ac:dyDescent="0.2">
      <c r="A77" s="33"/>
      <c r="B77" s="26"/>
      <c r="D77" s="32"/>
      <c r="E77" s="32"/>
      <c r="F77" s="32"/>
      <c r="G77" s="32"/>
      <c r="H77" s="32"/>
      <c r="I77" s="66"/>
      <c r="J77" s="32"/>
      <c r="K77" s="32"/>
      <c r="L77" s="82"/>
    </row>
    <row r="78" spans="1:137" x14ac:dyDescent="0.2">
      <c r="A78" s="33"/>
      <c r="B78" s="26"/>
      <c r="C78" s="116">
        <f>'OPERATING BUDGET'!C229</f>
        <v>-15902673.324224979</v>
      </c>
      <c r="D78" s="32"/>
      <c r="E78" s="32"/>
      <c r="F78" s="32"/>
      <c r="G78" s="32"/>
      <c r="H78" s="32"/>
      <c r="I78" s="66"/>
      <c r="J78" s="32"/>
      <c r="K78" s="32"/>
      <c r="L78" s="82"/>
    </row>
    <row r="79" spans="1:137" x14ac:dyDescent="0.2">
      <c r="A79" s="33"/>
      <c r="B79" s="26"/>
      <c r="D79" s="32"/>
      <c r="E79" s="32"/>
      <c r="F79" s="32"/>
      <c r="G79" s="32"/>
      <c r="H79" s="32"/>
      <c r="I79" s="66"/>
      <c r="J79" s="32"/>
      <c r="K79" s="32"/>
      <c r="L79" s="82"/>
    </row>
    <row r="80" spans="1:137" x14ac:dyDescent="0.2">
      <c r="A80" s="33"/>
      <c r="B80" s="26"/>
      <c r="D80" s="32"/>
      <c r="E80" s="32"/>
      <c r="F80" s="32"/>
      <c r="G80" s="32"/>
      <c r="H80" s="32"/>
      <c r="I80" s="66"/>
      <c r="J80" s="32"/>
      <c r="K80" s="32"/>
      <c r="L80" s="82"/>
    </row>
    <row r="81" spans="1:12" x14ac:dyDescent="0.2">
      <c r="A81" s="33"/>
      <c r="B81" s="26"/>
      <c r="D81" s="32"/>
      <c r="E81" s="32"/>
      <c r="F81" s="32"/>
      <c r="G81" s="32"/>
      <c r="H81" s="32"/>
      <c r="I81" s="66"/>
      <c r="J81" s="32"/>
      <c r="K81" s="32"/>
      <c r="L81" s="82"/>
    </row>
    <row r="82" spans="1:12" x14ac:dyDescent="0.2">
      <c r="A82" s="33"/>
      <c r="B82" s="21"/>
      <c r="D82" s="32"/>
      <c r="E82" s="32"/>
      <c r="F82" s="32"/>
      <c r="G82" s="32"/>
      <c r="H82" s="32"/>
      <c r="I82" s="66"/>
      <c r="J82" s="32"/>
      <c r="K82" s="32"/>
      <c r="L82" s="82"/>
    </row>
    <row r="83" spans="1:12" x14ac:dyDescent="0.2">
      <c r="A83" s="33"/>
      <c r="B83" s="21"/>
      <c r="D83" s="32"/>
      <c r="E83" s="32"/>
      <c r="F83" s="32"/>
      <c r="G83" s="32"/>
      <c r="H83" s="32"/>
      <c r="I83" s="66"/>
      <c r="J83" s="32"/>
      <c r="K83" s="32"/>
      <c r="L83" s="82"/>
    </row>
    <row r="84" spans="1:12" x14ac:dyDescent="0.2">
      <c r="A84" s="33"/>
      <c r="B84" s="21"/>
      <c r="D84" s="32"/>
      <c r="E84" s="32"/>
      <c r="F84" s="32"/>
      <c r="G84" s="32"/>
      <c r="H84" s="32"/>
      <c r="I84" s="66"/>
      <c r="J84" s="32"/>
      <c r="K84" s="32"/>
      <c r="L84" s="82"/>
    </row>
    <row r="85" spans="1:12" ht="18" x14ac:dyDescent="0.25">
      <c r="A85" s="33"/>
      <c r="B85" s="75"/>
      <c r="D85" s="32"/>
      <c r="E85" s="32"/>
      <c r="F85" s="32"/>
      <c r="G85" s="32"/>
      <c r="H85" s="32"/>
      <c r="I85" s="66"/>
      <c r="J85" s="32"/>
      <c r="K85" s="32"/>
      <c r="L85" s="25"/>
    </row>
    <row r="86" spans="1:12" x14ac:dyDescent="0.2">
      <c r="A86" s="33"/>
      <c r="B86" s="26"/>
      <c r="D86" s="32"/>
      <c r="E86" s="32"/>
      <c r="F86" s="32"/>
      <c r="G86" s="32"/>
      <c r="H86" s="32"/>
      <c r="I86" s="66"/>
      <c r="J86" s="32"/>
      <c r="K86" s="32"/>
      <c r="L86" s="25"/>
    </row>
    <row r="87" spans="1:12" x14ac:dyDescent="0.2">
      <c r="A87" s="33"/>
      <c r="B87" s="26"/>
      <c r="D87" s="32"/>
      <c r="E87" s="32"/>
      <c r="F87" s="32"/>
      <c r="G87" s="32"/>
      <c r="H87" s="32"/>
      <c r="I87" s="66"/>
      <c r="J87" s="32"/>
      <c r="K87" s="32"/>
      <c r="L87" s="25"/>
    </row>
    <row r="88" spans="1:12" x14ac:dyDescent="0.2">
      <c r="A88" s="33"/>
      <c r="B88" s="26"/>
      <c r="D88" s="32"/>
      <c r="E88" s="32"/>
      <c r="F88" s="32"/>
      <c r="G88" s="32"/>
      <c r="H88" s="32"/>
      <c r="I88" s="66"/>
      <c r="J88" s="32"/>
      <c r="K88" s="32"/>
      <c r="L88" s="25"/>
    </row>
    <row r="89" spans="1:12" x14ac:dyDescent="0.2">
      <c r="A89" s="33"/>
      <c r="B89" s="26"/>
      <c r="D89" s="32"/>
      <c r="E89" s="32"/>
      <c r="F89" s="32"/>
      <c r="G89" s="32"/>
      <c r="H89" s="32"/>
      <c r="I89" s="66"/>
      <c r="J89" s="32"/>
      <c r="K89" s="32"/>
      <c r="L89" s="25"/>
    </row>
    <row r="90" spans="1:12" x14ac:dyDescent="0.2">
      <c r="A90" s="33"/>
      <c r="B90" s="26"/>
      <c r="D90" s="32"/>
      <c r="E90" s="32"/>
      <c r="F90" s="32"/>
      <c r="G90" s="32"/>
      <c r="H90" s="32"/>
      <c r="I90" s="66"/>
      <c r="J90" s="32"/>
      <c r="K90" s="32"/>
      <c r="L90" s="25"/>
    </row>
    <row r="91" spans="1:12" x14ac:dyDescent="0.2">
      <c r="A91" s="33"/>
      <c r="B91" s="26"/>
      <c r="D91" s="32"/>
      <c r="E91" s="32"/>
      <c r="F91" s="32"/>
      <c r="G91" s="32"/>
      <c r="H91" s="32"/>
      <c r="I91" s="66"/>
      <c r="J91" s="32"/>
      <c r="K91" s="32"/>
      <c r="L91" s="25"/>
    </row>
    <row r="92" spans="1:12" x14ac:dyDescent="0.2">
      <c r="A92" s="33"/>
      <c r="B92" s="26"/>
      <c r="D92" s="32"/>
      <c r="E92" s="32"/>
      <c r="F92" s="32"/>
      <c r="G92" s="32"/>
      <c r="H92" s="32"/>
      <c r="I92" s="66"/>
      <c r="J92" s="32"/>
      <c r="K92" s="32"/>
      <c r="L92" s="25"/>
    </row>
    <row r="93" spans="1:12" x14ac:dyDescent="0.2">
      <c r="A93" s="33"/>
      <c r="B93" s="26"/>
      <c r="D93" s="32"/>
      <c r="E93" s="32"/>
      <c r="F93" s="32"/>
      <c r="G93" s="32"/>
      <c r="H93" s="32"/>
      <c r="I93" s="66"/>
      <c r="J93" s="32"/>
      <c r="K93" s="32"/>
      <c r="L93" s="25"/>
    </row>
    <row r="94" spans="1:12" x14ac:dyDescent="0.2">
      <c r="A94" s="33"/>
      <c r="B94" s="26"/>
      <c r="D94" s="32"/>
      <c r="E94" s="32"/>
      <c r="F94" s="32"/>
      <c r="G94" s="32"/>
      <c r="H94" s="32"/>
      <c r="I94" s="66"/>
      <c r="J94" s="32"/>
      <c r="K94" s="32"/>
      <c r="L94" s="25"/>
    </row>
    <row r="95" spans="1:12" x14ac:dyDescent="0.2">
      <c r="A95" s="33"/>
      <c r="B95" s="26"/>
      <c r="D95" s="32"/>
      <c r="E95" s="32"/>
      <c r="F95" s="32"/>
      <c r="G95" s="32"/>
      <c r="H95" s="32"/>
      <c r="I95" s="66"/>
      <c r="J95" s="32"/>
      <c r="K95" s="32"/>
      <c r="L95" s="25"/>
    </row>
    <row r="96" spans="1:12" x14ac:dyDescent="0.2">
      <c r="A96" s="33"/>
      <c r="B96" s="26"/>
      <c r="D96" s="32"/>
      <c r="E96" s="32"/>
      <c r="F96" s="32"/>
      <c r="G96" s="32"/>
      <c r="H96" s="32"/>
      <c r="I96" s="66"/>
      <c r="J96" s="32"/>
      <c r="K96" s="32"/>
      <c r="L96" s="25"/>
    </row>
    <row r="97" spans="1:12" x14ac:dyDescent="0.2">
      <c r="A97" s="33"/>
      <c r="B97" s="26"/>
      <c r="D97" s="32"/>
      <c r="E97" s="32"/>
      <c r="F97" s="32"/>
      <c r="G97" s="32"/>
      <c r="H97" s="32"/>
      <c r="I97" s="66"/>
      <c r="J97" s="32"/>
      <c r="K97" s="32"/>
      <c r="L97" s="25"/>
    </row>
    <row r="98" spans="1:12" x14ac:dyDescent="0.2">
      <c r="A98" s="33"/>
      <c r="B98" s="26"/>
      <c r="D98" s="32"/>
      <c r="E98" s="32"/>
      <c r="F98" s="32"/>
      <c r="G98" s="32"/>
      <c r="H98" s="32"/>
      <c r="I98" s="66"/>
      <c r="J98" s="32"/>
      <c r="K98" s="32"/>
      <c r="L98" s="25"/>
    </row>
    <row r="99" spans="1:12" x14ac:dyDescent="0.2">
      <c r="A99" s="33"/>
      <c r="B99" s="26"/>
      <c r="D99" s="32"/>
      <c r="E99" s="32"/>
      <c r="F99" s="32"/>
      <c r="G99" s="32"/>
      <c r="H99" s="32"/>
      <c r="I99" s="66"/>
      <c r="J99" s="32"/>
      <c r="K99" s="32"/>
      <c r="L99" s="25"/>
    </row>
    <row r="100" spans="1:12" x14ac:dyDescent="0.2">
      <c r="A100" s="33"/>
      <c r="B100" s="21"/>
      <c r="D100" s="32"/>
      <c r="E100" s="32"/>
      <c r="F100" s="32"/>
      <c r="G100" s="32"/>
      <c r="H100" s="32"/>
      <c r="I100" s="66"/>
      <c r="J100" s="32"/>
      <c r="K100" s="32"/>
      <c r="L100" s="25"/>
    </row>
    <row r="101" spans="1:12" x14ac:dyDescent="0.2">
      <c r="A101" s="33"/>
      <c r="B101" s="21"/>
      <c r="D101" s="32"/>
      <c r="E101" s="32"/>
      <c r="F101" s="32"/>
      <c r="G101" s="32"/>
      <c r="H101" s="32"/>
      <c r="I101" s="66"/>
      <c r="J101" s="32"/>
      <c r="K101" s="32"/>
      <c r="L101" s="25"/>
    </row>
    <row r="102" spans="1:12" x14ac:dyDescent="0.2">
      <c r="A102" s="33"/>
      <c r="B102" s="21"/>
      <c r="D102" s="32"/>
      <c r="E102" s="32"/>
      <c r="F102" s="32"/>
      <c r="G102" s="32"/>
      <c r="H102" s="32"/>
      <c r="I102" s="66"/>
      <c r="J102" s="32"/>
      <c r="K102" s="32"/>
      <c r="L102" s="25"/>
    </row>
    <row r="103" spans="1:12" ht="18" x14ac:dyDescent="0.25">
      <c r="A103" s="33"/>
      <c r="B103" s="75"/>
      <c r="D103" s="32"/>
      <c r="E103" s="32"/>
      <c r="F103" s="32"/>
      <c r="G103" s="32"/>
      <c r="H103" s="32"/>
      <c r="I103" s="66"/>
      <c r="J103" s="32"/>
      <c r="K103" s="32"/>
      <c r="L103" s="25"/>
    </row>
    <row r="104" spans="1:12" x14ac:dyDescent="0.2">
      <c r="A104" s="33"/>
      <c r="B104" s="26"/>
      <c r="D104" s="32"/>
      <c r="E104" s="32"/>
      <c r="F104" s="32"/>
      <c r="G104" s="32"/>
      <c r="H104" s="32"/>
      <c r="I104" s="66"/>
      <c r="J104" s="32"/>
      <c r="K104" s="32"/>
      <c r="L104" s="25"/>
    </row>
    <row r="105" spans="1:12" x14ac:dyDescent="0.2">
      <c r="A105" s="33"/>
      <c r="B105" s="26"/>
      <c r="D105" s="32"/>
      <c r="E105" s="32"/>
      <c r="F105" s="32"/>
      <c r="G105" s="32"/>
      <c r="H105" s="32"/>
      <c r="I105" s="66"/>
      <c r="J105" s="32"/>
      <c r="K105" s="32"/>
      <c r="L105" s="25"/>
    </row>
    <row r="106" spans="1:12" x14ac:dyDescent="0.2">
      <c r="A106" s="33"/>
      <c r="B106" s="26"/>
      <c r="D106" s="32"/>
      <c r="E106" s="32"/>
      <c r="F106" s="32"/>
      <c r="G106" s="32"/>
      <c r="H106" s="32"/>
      <c r="I106" s="66"/>
      <c r="J106" s="32"/>
      <c r="K106" s="32"/>
      <c r="L106" s="25"/>
    </row>
    <row r="107" spans="1:12" x14ac:dyDescent="0.2">
      <c r="A107" s="33"/>
      <c r="B107" s="26"/>
      <c r="D107" s="32"/>
      <c r="E107" s="32"/>
      <c r="F107" s="32"/>
      <c r="G107" s="32"/>
      <c r="H107" s="32"/>
      <c r="I107" s="66"/>
      <c r="J107" s="32"/>
      <c r="K107" s="32"/>
      <c r="L107" s="25"/>
    </row>
    <row r="108" spans="1:12" x14ac:dyDescent="0.2">
      <c r="A108" s="33"/>
      <c r="B108" s="26"/>
      <c r="D108" s="32"/>
      <c r="E108" s="32"/>
      <c r="F108" s="32"/>
      <c r="G108" s="32"/>
      <c r="H108" s="32"/>
      <c r="I108" s="66"/>
      <c r="J108" s="32"/>
      <c r="K108" s="32"/>
      <c r="L108" s="25"/>
    </row>
    <row r="109" spans="1:12" x14ac:dyDescent="0.2">
      <c r="A109" s="33"/>
      <c r="B109" s="26"/>
      <c r="D109" s="32"/>
      <c r="E109" s="32"/>
      <c r="F109" s="32"/>
      <c r="G109" s="32"/>
      <c r="H109" s="32"/>
      <c r="I109" s="66"/>
      <c r="J109" s="32"/>
      <c r="K109" s="32"/>
      <c r="L109" s="25"/>
    </row>
    <row r="110" spans="1:12" x14ac:dyDescent="0.2">
      <c r="A110" s="33"/>
      <c r="B110" s="26"/>
      <c r="D110" s="32"/>
      <c r="E110" s="32"/>
      <c r="F110" s="32"/>
      <c r="G110" s="32"/>
      <c r="H110" s="32"/>
      <c r="I110" s="66"/>
      <c r="J110" s="32"/>
      <c r="K110" s="32"/>
      <c r="L110" s="25"/>
    </row>
    <row r="111" spans="1:12" x14ac:dyDescent="0.2">
      <c r="A111" s="33"/>
      <c r="B111" s="26"/>
      <c r="D111" s="32"/>
      <c r="E111" s="32"/>
      <c r="F111" s="32"/>
      <c r="G111" s="32"/>
      <c r="H111" s="32"/>
      <c r="I111" s="66"/>
      <c r="J111" s="32"/>
      <c r="K111" s="32"/>
      <c r="L111" s="25"/>
    </row>
    <row r="112" spans="1:12" x14ac:dyDescent="0.2">
      <c r="A112" s="33"/>
      <c r="B112" s="26"/>
      <c r="D112" s="32"/>
      <c r="E112" s="32"/>
      <c r="F112" s="32"/>
      <c r="G112" s="32"/>
      <c r="H112" s="32"/>
      <c r="I112" s="66"/>
      <c r="J112" s="32"/>
      <c r="K112" s="32"/>
      <c r="L112" s="25"/>
    </row>
    <row r="113" spans="1:12" x14ac:dyDescent="0.2">
      <c r="A113" s="33"/>
      <c r="B113" s="21"/>
      <c r="D113" s="32"/>
      <c r="E113" s="32"/>
      <c r="F113" s="32"/>
      <c r="G113" s="32"/>
      <c r="H113" s="32"/>
      <c r="I113" s="66"/>
      <c r="J113" s="32"/>
      <c r="K113" s="32"/>
      <c r="L113" s="25"/>
    </row>
    <row r="114" spans="1:12" x14ac:dyDescent="0.2">
      <c r="A114" s="33"/>
      <c r="B114" s="21"/>
      <c r="D114" s="32"/>
      <c r="E114" s="32"/>
      <c r="F114" s="32"/>
      <c r="G114" s="32"/>
      <c r="H114" s="32"/>
      <c r="I114" s="66"/>
      <c r="J114" s="32"/>
      <c r="K114" s="32"/>
      <c r="L114" s="25"/>
    </row>
    <row r="115" spans="1:12" x14ac:dyDescent="0.2">
      <c r="A115" s="33"/>
      <c r="B115" s="21"/>
      <c r="D115" s="32"/>
      <c r="E115" s="32"/>
      <c r="F115" s="32"/>
      <c r="G115" s="32"/>
      <c r="H115" s="32"/>
      <c r="I115" s="32"/>
      <c r="J115" s="32"/>
      <c r="K115" s="32"/>
      <c r="L115" s="25"/>
    </row>
    <row r="116" spans="1:12" x14ac:dyDescent="0.2">
      <c r="A116" s="33"/>
      <c r="B116" s="21"/>
      <c r="D116" s="32"/>
      <c r="E116" s="32"/>
      <c r="F116" s="32"/>
      <c r="G116" s="32"/>
      <c r="H116" s="32"/>
      <c r="I116" s="32"/>
      <c r="J116" s="32"/>
      <c r="K116" s="32"/>
      <c r="L116" s="25"/>
    </row>
    <row r="117" spans="1:12" x14ac:dyDescent="0.2">
      <c r="A117" s="33"/>
      <c r="B117" s="21"/>
      <c r="D117" s="32"/>
      <c r="E117" s="32"/>
      <c r="F117" s="32"/>
      <c r="G117" s="32"/>
      <c r="H117" s="32"/>
      <c r="I117" s="32"/>
      <c r="J117" s="32"/>
      <c r="K117" s="32"/>
      <c r="L117" s="25"/>
    </row>
    <row r="118" spans="1:12" x14ac:dyDescent="0.2">
      <c r="A118" s="33"/>
      <c r="B118" s="21"/>
      <c r="D118" s="32"/>
      <c r="E118" s="32"/>
      <c r="F118" s="32"/>
      <c r="G118" s="32"/>
      <c r="H118" s="32"/>
      <c r="I118" s="32"/>
      <c r="J118" s="32"/>
      <c r="K118" s="32"/>
      <c r="L118" s="25"/>
    </row>
    <row r="119" spans="1:12" x14ac:dyDescent="0.2">
      <c r="A119" s="33"/>
      <c r="B119" s="21"/>
      <c r="D119" s="32"/>
      <c r="E119" s="32"/>
      <c r="F119" s="32"/>
      <c r="G119" s="32"/>
      <c r="H119" s="32"/>
      <c r="I119" s="32"/>
      <c r="J119" s="32"/>
      <c r="K119" s="32"/>
      <c r="L119" s="25"/>
    </row>
    <row r="120" spans="1:12" x14ac:dyDescent="0.2">
      <c r="A120" s="33"/>
      <c r="B120" s="21"/>
      <c r="D120" s="32"/>
      <c r="E120" s="32"/>
      <c r="F120" s="32"/>
      <c r="G120" s="32"/>
      <c r="H120" s="32"/>
      <c r="I120" s="32"/>
      <c r="J120" s="32"/>
      <c r="K120" s="32"/>
      <c r="L120" s="25"/>
    </row>
    <row r="121" spans="1:12" x14ac:dyDescent="0.2">
      <c r="A121" s="33"/>
      <c r="B121" s="21"/>
      <c r="D121" s="32"/>
      <c r="E121" s="32"/>
      <c r="F121" s="32"/>
      <c r="G121" s="32"/>
      <c r="H121" s="32"/>
      <c r="I121" s="32"/>
      <c r="J121" s="32"/>
      <c r="K121" s="32"/>
      <c r="L121" s="25"/>
    </row>
    <row r="122" spans="1:12" x14ac:dyDescent="0.2">
      <c r="A122" s="33"/>
      <c r="B122" s="21"/>
      <c r="D122" s="32"/>
      <c r="E122" s="32"/>
      <c r="F122" s="32"/>
      <c r="G122" s="32"/>
      <c r="H122" s="32"/>
      <c r="I122" s="32"/>
      <c r="J122" s="32"/>
      <c r="K122" s="32"/>
      <c r="L122" s="25"/>
    </row>
    <row r="123" spans="1:12" x14ac:dyDescent="0.2">
      <c r="A123" s="33"/>
      <c r="B123" s="21"/>
      <c r="D123" s="32"/>
      <c r="E123" s="32"/>
      <c r="F123" s="32"/>
      <c r="G123" s="32"/>
      <c r="H123" s="32"/>
      <c r="I123" s="32"/>
      <c r="J123" s="32"/>
      <c r="K123" s="32"/>
      <c r="L123" s="25"/>
    </row>
    <row r="124" spans="1:12" x14ac:dyDescent="0.2">
      <c r="A124" s="33"/>
      <c r="B124" s="21"/>
      <c r="D124" s="32"/>
      <c r="E124" s="32"/>
      <c r="F124" s="32"/>
      <c r="G124" s="32"/>
      <c r="H124" s="32"/>
      <c r="I124" s="32"/>
      <c r="J124" s="32"/>
      <c r="K124" s="32"/>
      <c r="L124" s="25"/>
    </row>
    <row r="125" spans="1:12" x14ac:dyDescent="0.2">
      <c r="A125" s="33"/>
      <c r="B125" s="21"/>
      <c r="D125" s="32"/>
      <c r="E125" s="32"/>
      <c r="F125" s="32"/>
      <c r="G125" s="32"/>
      <c r="H125" s="32"/>
      <c r="I125" s="32"/>
      <c r="J125" s="32"/>
      <c r="K125" s="32"/>
      <c r="L125" s="25"/>
    </row>
    <row r="126" spans="1:12" x14ac:dyDescent="0.2">
      <c r="A126" s="33"/>
      <c r="B126" s="21"/>
      <c r="D126" s="32"/>
      <c r="E126" s="32"/>
      <c r="F126" s="32"/>
      <c r="G126" s="32"/>
      <c r="H126" s="32"/>
      <c r="I126" s="32"/>
      <c r="J126" s="32"/>
      <c r="K126" s="32"/>
      <c r="L126" s="25"/>
    </row>
    <row r="127" spans="1:12" x14ac:dyDescent="0.2">
      <c r="A127" s="33"/>
      <c r="B127" s="21"/>
      <c r="D127" s="32"/>
      <c r="E127" s="32"/>
      <c r="F127" s="32"/>
      <c r="G127" s="32"/>
      <c r="H127" s="32"/>
      <c r="I127" s="32"/>
      <c r="J127" s="32"/>
      <c r="K127" s="32"/>
      <c r="L127" s="25"/>
    </row>
    <row r="128" spans="1:12" x14ac:dyDescent="0.2">
      <c r="A128" s="33"/>
      <c r="B128" s="21"/>
      <c r="D128" s="32"/>
      <c r="E128" s="32"/>
      <c r="F128" s="32"/>
      <c r="G128" s="32"/>
      <c r="H128" s="32"/>
      <c r="I128" s="32"/>
      <c r="J128" s="32"/>
      <c r="K128" s="32"/>
      <c r="L128" s="25"/>
    </row>
    <row r="129" spans="1:12" x14ac:dyDescent="0.2">
      <c r="A129" s="33"/>
      <c r="B129" s="21"/>
      <c r="D129" s="32"/>
      <c r="E129" s="32"/>
      <c r="F129" s="32"/>
      <c r="G129" s="32"/>
      <c r="H129" s="32"/>
      <c r="I129" s="32"/>
      <c r="J129" s="32"/>
      <c r="K129" s="32"/>
      <c r="L129" s="25"/>
    </row>
    <row r="130" spans="1:12" x14ac:dyDescent="0.2">
      <c r="A130" s="33"/>
      <c r="B130" s="21"/>
      <c r="D130" s="32"/>
      <c r="E130" s="32"/>
      <c r="F130" s="32"/>
      <c r="G130" s="32"/>
      <c r="H130" s="32"/>
      <c r="I130" s="32"/>
      <c r="J130" s="32"/>
      <c r="K130" s="32"/>
      <c r="L130" s="25"/>
    </row>
    <row r="131" spans="1:12" x14ac:dyDescent="0.2">
      <c r="A131" s="33"/>
      <c r="B131" s="21"/>
      <c r="D131" s="32"/>
      <c r="E131" s="32"/>
      <c r="F131" s="32"/>
      <c r="G131" s="32"/>
      <c r="H131" s="32"/>
      <c r="I131" s="32"/>
      <c r="J131" s="32"/>
      <c r="K131" s="32"/>
      <c r="L131" s="25"/>
    </row>
    <row r="132" spans="1:12" x14ac:dyDescent="0.2">
      <c r="A132" s="33"/>
      <c r="B132" s="21"/>
      <c r="D132" s="32"/>
      <c r="E132" s="32"/>
      <c r="F132" s="32"/>
      <c r="G132" s="32"/>
      <c r="H132" s="32"/>
      <c r="I132" s="32"/>
      <c r="J132" s="32"/>
      <c r="K132" s="32"/>
      <c r="L132" s="25"/>
    </row>
    <row r="133" spans="1:12" x14ac:dyDescent="0.2">
      <c r="A133" s="33"/>
      <c r="B133" s="21"/>
      <c r="D133" s="32"/>
      <c r="E133" s="32"/>
      <c r="F133" s="32"/>
      <c r="G133" s="32"/>
      <c r="H133" s="32"/>
      <c r="I133" s="32"/>
      <c r="J133" s="32"/>
      <c r="K133" s="32"/>
      <c r="L133" s="25"/>
    </row>
    <row r="134" spans="1:12" x14ac:dyDescent="0.2">
      <c r="A134" s="33"/>
      <c r="B134" s="21"/>
      <c r="D134" s="32"/>
      <c r="E134" s="32"/>
      <c r="F134" s="32"/>
      <c r="G134" s="32"/>
      <c r="H134" s="32"/>
      <c r="I134" s="32"/>
      <c r="J134" s="32"/>
      <c r="K134" s="32"/>
      <c r="L134" s="25"/>
    </row>
    <row r="135" spans="1:12" x14ac:dyDescent="0.2">
      <c r="A135" s="33"/>
      <c r="B135" s="21"/>
      <c r="D135" s="32"/>
      <c r="E135" s="32"/>
      <c r="F135" s="32"/>
      <c r="G135" s="32"/>
      <c r="H135" s="32"/>
      <c r="I135" s="32"/>
      <c r="J135" s="32"/>
      <c r="K135" s="32"/>
      <c r="L135" s="25"/>
    </row>
    <row r="136" spans="1:12" x14ac:dyDescent="0.2">
      <c r="A136" s="33"/>
      <c r="B136" s="21"/>
      <c r="D136" s="32"/>
      <c r="E136" s="32"/>
      <c r="F136" s="32"/>
      <c r="G136" s="32"/>
      <c r="H136" s="32"/>
      <c r="I136" s="32"/>
      <c r="J136" s="32"/>
      <c r="K136" s="32"/>
      <c r="L136" s="25"/>
    </row>
    <row r="137" spans="1:12" x14ac:dyDescent="0.2">
      <c r="A137" s="33"/>
      <c r="B137" s="21"/>
      <c r="D137" s="32"/>
      <c r="E137" s="32"/>
      <c r="F137" s="32"/>
      <c r="G137" s="32"/>
      <c r="H137" s="32"/>
      <c r="I137" s="32"/>
      <c r="J137" s="32"/>
      <c r="K137" s="32"/>
      <c r="L137" s="25"/>
    </row>
    <row r="138" spans="1:12" x14ac:dyDescent="0.2">
      <c r="A138" s="33"/>
      <c r="B138" s="21"/>
      <c r="D138" s="32"/>
      <c r="E138" s="32"/>
      <c r="F138" s="32"/>
      <c r="G138" s="32"/>
      <c r="H138" s="32"/>
      <c r="I138" s="32"/>
      <c r="J138" s="32"/>
      <c r="K138" s="32"/>
      <c r="L138" s="25"/>
    </row>
    <row r="139" spans="1:12" x14ac:dyDescent="0.2">
      <c r="A139" s="33"/>
      <c r="B139" s="21"/>
      <c r="D139" s="32"/>
      <c r="E139" s="32"/>
      <c r="F139" s="32"/>
      <c r="G139" s="32"/>
      <c r="H139" s="32"/>
      <c r="I139" s="32"/>
      <c r="J139" s="32"/>
      <c r="K139" s="32"/>
      <c r="L139" s="25"/>
    </row>
    <row r="140" spans="1:12" x14ac:dyDescent="0.2">
      <c r="A140" s="33"/>
      <c r="B140" s="21"/>
      <c r="D140" s="32"/>
      <c r="E140" s="32"/>
      <c r="F140" s="32"/>
      <c r="G140" s="32"/>
      <c r="H140" s="32"/>
      <c r="I140" s="32"/>
      <c r="J140" s="32"/>
      <c r="K140" s="32"/>
      <c r="L140" s="25"/>
    </row>
    <row r="141" spans="1:12" x14ac:dyDescent="0.2">
      <c r="A141" s="33"/>
      <c r="B141" s="21"/>
      <c r="D141" s="32"/>
      <c r="E141" s="32"/>
      <c r="F141" s="32"/>
      <c r="G141" s="32"/>
      <c r="H141" s="32"/>
      <c r="I141" s="32"/>
      <c r="J141" s="32"/>
      <c r="K141" s="32"/>
      <c r="L141" s="25"/>
    </row>
    <row r="142" spans="1:12" x14ac:dyDescent="0.2">
      <c r="A142" s="33"/>
      <c r="B142" s="21"/>
      <c r="D142" s="32"/>
      <c r="E142" s="32"/>
      <c r="F142" s="32"/>
      <c r="G142" s="32"/>
      <c r="H142" s="32"/>
      <c r="I142" s="32"/>
      <c r="J142" s="32"/>
      <c r="K142" s="32"/>
      <c r="L142" s="25"/>
    </row>
    <row r="143" spans="1:12" x14ac:dyDescent="0.2">
      <c r="A143" s="33"/>
      <c r="B143" s="21"/>
      <c r="D143" s="32"/>
      <c r="E143" s="32"/>
      <c r="F143" s="32"/>
      <c r="G143" s="32"/>
      <c r="H143" s="32"/>
      <c r="I143" s="32"/>
      <c r="J143" s="32"/>
      <c r="K143" s="32"/>
      <c r="L143" s="25"/>
    </row>
    <row r="144" spans="1:12" x14ac:dyDescent="0.2">
      <c r="A144" s="33"/>
      <c r="B144" s="21"/>
      <c r="D144" s="32"/>
      <c r="E144" s="32"/>
      <c r="F144" s="32"/>
      <c r="G144" s="32"/>
      <c r="H144" s="32"/>
      <c r="I144" s="32"/>
      <c r="J144" s="32"/>
      <c r="K144" s="32"/>
      <c r="L144" s="25"/>
    </row>
    <row r="145" spans="1:12" x14ac:dyDescent="0.2">
      <c r="A145" s="33"/>
      <c r="B145" s="21"/>
      <c r="D145" s="32"/>
      <c r="E145" s="32"/>
      <c r="F145" s="32"/>
      <c r="G145" s="32"/>
      <c r="H145" s="32"/>
      <c r="I145" s="32"/>
      <c r="J145" s="32"/>
      <c r="K145" s="32"/>
      <c r="L145" s="25"/>
    </row>
    <row r="146" spans="1:12" x14ac:dyDescent="0.2">
      <c r="A146" s="33"/>
      <c r="B146" s="21"/>
      <c r="D146" s="32"/>
      <c r="E146" s="32"/>
      <c r="F146" s="32"/>
      <c r="G146" s="32"/>
      <c r="H146" s="32"/>
      <c r="I146" s="32"/>
      <c r="J146" s="32"/>
      <c r="K146" s="32"/>
      <c r="L146" s="25"/>
    </row>
    <row r="147" spans="1:12" x14ac:dyDescent="0.2">
      <c r="A147" s="33"/>
      <c r="B147" s="21"/>
      <c r="D147" s="32"/>
      <c r="E147" s="32"/>
      <c r="F147" s="32"/>
      <c r="G147" s="32"/>
      <c r="H147" s="32"/>
      <c r="I147" s="32"/>
      <c r="J147" s="32"/>
      <c r="K147" s="32"/>
      <c r="L147" s="25"/>
    </row>
    <row r="148" spans="1:12" x14ac:dyDescent="0.2">
      <c r="A148" s="33"/>
      <c r="B148" s="21"/>
      <c r="D148" s="32"/>
      <c r="E148" s="32"/>
      <c r="F148" s="32"/>
      <c r="G148" s="32"/>
      <c r="H148" s="32"/>
      <c r="I148" s="32"/>
      <c r="J148" s="32"/>
      <c r="K148" s="32"/>
      <c r="L148" s="25"/>
    </row>
    <row r="149" spans="1:12" x14ac:dyDescent="0.2">
      <c r="A149" s="33"/>
      <c r="B149" s="21"/>
      <c r="D149" s="32"/>
      <c r="E149" s="32"/>
      <c r="F149" s="32"/>
      <c r="G149" s="32"/>
      <c r="H149" s="32"/>
      <c r="I149" s="32"/>
      <c r="J149" s="32"/>
      <c r="K149" s="32"/>
      <c r="L149" s="25"/>
    </row>
    <row r="150" spans="1:12" x14ac:dyDescent="0.2">
      <c r="A150" s="33"/>
      <c r="B150" s="21"/>
      <c r="D150" s="32"/>
      <c r="E150" s="32"/>
      <c r="F150" s="32"/>
      <c r="G150" s="32"/>
      <c r="H150" s="32"/>
      <c r="I150" s="32"/>
      <c r="J150" s="32"/>
      <c r="K150" s="32"/>
      <c r="L150" s="25"/>
    </row>
    <row r="151" spans="1:12" x14ac:dyDescent="0.2">
      <c r="A151" s="33"/>
      <c r="B151" s="21"/>
      <c r="D151" s="32"/>
      <c r="E151" s="32"/>
      <c r="F151" s="32"/>
      <c r="G151" s="32"/>
      <c r="H151" s="32"/>
      <c r="I151" s="32"/>
      <c r="J151" s="32"/>
      <c r="K151" s="32"/>
      <c r="L151" s="25"/>
    </row>
    <row r="152" spans="1:12" x14ac:dyDescent="0.2">
      <c r="A152" s="33"/>
      <c r="B152" s="21"/>
      <c r="D152" s="32"/>
      <c r="E152" s="32"/>
      <c r="F152" s="32"/>
      <c r="G152" s="32"/>
      <c r="H152" s="32"/>
      <c r="I152" s="32"/>
      <c r="J152" s="32"/>
      <c r="K152" s="32"/>
      <c r="L152" s="25"/>
    </row>
    <row r="153" spans="1:12" x14ac:dyDescent="0.2">
      <c r="A153" s="33"/>
      <c r="B153" s="21"/>
      <c r="D153" s="32"/>
      <c r="E153" s="32"/>
      <c r="F153" s="32"/>
      <c r="G153" s="32"/>
      <c r="H153" s="32"/>
      <c r="I153" s="32"/>
      <c r="J153" s="32"/>
      <c r="K153" s="32"/>
      <c r="L153" s="25"/>
    </row>
    <row r="154" spans="1:12" x14ac:dyDescent="0.2">
      <c r="A154" s="33"/>
      <c r="B154" s="21"/>
      <c r="D154" s="32"/>
      <c r="E154" s="32"/>
      <c r="F154" s="32"/>
      <c r="G154" s="32"/>
      <c r="H154" s="32"/>
      <c r="I154" s="32"/>
      <c r="J154" s="32"/>
      <c r="K154" s="32"/>
      <c r="L154" s="25"/>
    </row>
    <row r="155" spans="1:12" x14ac:dyDescent="0.2">
      <c r="A155" s="33"/>
      <c r="B155" s="21"/>
      <c r="D155" s="32"/>
      <c r="E155" s="32"/>
      <c r="F155" s="32"/>
      <c r="G155" s="32"/>
      <c r="H155" s="32"/>
      <c r="I155" s="32"/>
      <c r="J155" s="32"/>
      <c r="K155" s="32"/>
      <c r="L155" s="25"/>
    </row>
    <row r="156" spans="1:12" x14ac:dyDescent="0.2">
      <c r="A156" s="33"/>
      <c r="B156" s="21"/>
      <c r="D156" s="32"/>
      <c r="E156" s="32"/>
      <c r="F156" s="32"/>
      <c r="G156" s="32"/>
      <c r="H156" s="32"/>
      <c r="I156" s="32"/>
      <c r="J156" s="32"/>
      <c r="K156" s="32"/>
      <c r="L156" s="25"/>
    </row>
    <row r="157" spans="1:12" x14ac:dyDescent="0.2">
      <c r="A157" s="33"/>
      <c r="B157" s="21"/>
      <c r="D157" s="32"/>
      <c r="E157" s="32"/>
      <c r="F157" s="32"/>
      <c r="G157" s="32"/>
      <c r="H157" s="32"/>
      <c r="I157" s="32"/>
      <c r="J157" s="32"/>
      <c r="K157" s="32"/>
      <c r="L157" s="25"/>
    </row>
    <row r="158" spans="1:12" x14ac:dyDescent="0.2">
      <c r="A158" s="33"/>
      <c r="B158" s="21"/>
      <c r="D158" s="32"/>
      <c r="E158" s="32"/>
      <c r="F158" s="32"/>
      <c r="G158" s="32"/>
      <c r="H158" s="32"/>
      <c r="I158" s="32"/>
      <c r="J158" s="32"/>
      <c r="K158" s="32"/>
      <c r="L158" s="25"/>
    </row>
    <row r="159" spans="1:12" x14ac:dyDescent="0.2">
      <c r="B159" s="21"/>
      <c r="D159" s="32"/>
      <c r="E159" s="32"/>
      <c r="F159" s="32"/>
      <c r="G159" s="32"/>
      <c r="H159" s="32"/>
      <c r="I159" s="32"/>
      <c r="J159" s="32"/>
      <c r="K159" s="32"/>
      <c r="L159" s="25"/>
    </row>
    <row r="160" spans="1:12" x14ac:dyDescent="0.2">
      <c r="B160" s="21"/>
      <c r="D160" s="32"/>
      <c r="E160" s="32"/>
      <c r="F160" s="32"/>
      <c r="G160" s="32"/>
      <c r="H160" s="32"/>
      <c r="I160" s="32"/>
      <c r="J160" s="32"/>
      <c r="K160" s="32"/>
      <c r="L160" s="25"/>
    </row>
    <row r="161" spans="2:12" x14ac:dyDescent="0.2">
      <c r="B161" s="21"/>
      <c r="D161" s="32"/>
      <c r="E161" s="32"/>
      <c r="F161" s="32"/>
      <c r="G161" s="32"/>
      <c r="H161" s="32"/>
      <c r="I161" s="32"/>
      <c r="J161" s="32"/>
      <c r="K161" s="32"/>
      <c r="L161" s="25"/>
    </row>
    <row r="162" spans="2:12" x14ac:dyDescent="0.2">
      <c r="B162" s="21"/>
      <c r="D162" s="32"/>
      <c r="E162" s="32"/>
      <c r="F162" s="32"/>
      <c r="G162" s="32"/>
      <c r="H162" s="32"/>
      <c r="I162" s="32"/>
      <c r="J162" s="32"/>
      <c r="K162" s="32"/>
      <c r="L162" s="25"/>
    </row>
    <row r="163" spans="2:12" x14ac:dyDescent="0.2">
      <c r="B163" s="21"/>
      <c r="D163" s="32"/>
      <c r="E163" s="32"/>
      <c r="F163" s="32"/>
      <c r="G163" s="32"/>
      <c r="H163" s="32"/>
      <c r="I163" s="32"/>
      <c r="J163" s="32"/>
      <c r="K163" s="32"/>
      <c r="L163" s="25"/>
    </row>
    <row r="164" spans="2:12" x14ac:dyDescent="0.2">
      <c r="B164" s="21"/>
      <c r="D164" s="32"/>
      <c r="E164" s="32"/>
      <c r="F164" s="32"/>
      <c r="G164" s="32"/>
      <c r="H164" s="32"/>
      <c r="I164" s="32"/>
      <c r="J164" s="32"/>
      <c r="K164" s="32"/>
      <c r="L164" s="25"/>
    </row>
    <row r="165" spans="2:12" x14ac:dyDescent="0.2">
      <c r="B165" s="21"/>
      <c r="D165" s="32"/>
      <c r="E165" s="32"/>
      <c r="F165" s="32"/>
      <c r="G165" s="32"/>
      <c r="H165" s="32"/>
      <c r="I165" s="32"/>
      <c r="J165" s="32"/>
      <c r="K165" s="32"/>
      <c r="L165" s="25"/>
    </row>
    <row r="166" spans="2:12" x14ac:dyDescent="0.2">
      <c r="B166" s="21"/>
      <c r="D166" s="32"/>
      <c r="E166" s="32"/>
      <c r="F166" s="32"/>
      <c r="G166" s="32"/>
      <c r="H166" s="32"/>
      <c r="I166" s="32"/>
      <c r="J166" s="32"/>
      <c r="K166" s="32"/>
      <c r="L166" s="25"/>
    </row>
    <row r="167" spans="2:12" x14ac:dyDescent="0.2">
      <c r="B167" s="21"/>
      <c r="D167" s="32"/>
      <c r="E167" s="32"/>
      <c r="F167" s="32"/>
      <c r="G167" s="32"/>
      <c r="H167" s="32"/>
      <c r="I167" s="32"/>
      <c r="J167" s="32"/>
      <c r="K167" s="32"/>
      <c r="L167" s="25"/>
    </row>
    <row r="168" spans="2:12" x14ac:dyDescent="0.2">
      <c r="B168" s="21"/>
      <c r="D168" s="32"/>
      <c r="E168" s="32"/>
      <c r="F168" s="32"/>
      <c r="G168" s="32"/>
      <c r="H168" s="32"/>
      <c r="I168" s="32"/>
      <c r="J168" s="32"/>
      <c r="K168" s="32"/>
      <c r="L168" s="25"/>
    </row>
    <row r="169" spans="2:12" x14ac:dyDescent="0.2">
      <c r="B169" s="21"/>
      <c r="D169" s="32"/>
      <c r="E169" s="32"/>
      <c r="F169" s="32"/>
      <c r="G169" s="32"/>
      <c r="H169" s="32"/>
      <c r="I169" s="32"/>
      <c r="J169" s="32"/>
      <c r="K169" s="32"/>
      <c r="L169" s="25"/>
    </row>
    <row r="170" spans="2:12" x14ac:dyDescent="0.2">
      <c r="B170" s="21"/>
      <c r="D170" s="32"/>
      <c r="E170" s="32"/>
      <c r="F170" s="32"/>
      <c r="G170" s="32"/>
      <c r="H170" s="32"/>
      <c r="I170" s="32"/>
      <c r="J170" s="32"/>
      <c r="K170" s="32"/>
      <c r="L170" s="25"/>
    </row>
    <row r="171" spans="2:12" x14ac:dyDescent="0.2">
      <c r="B171" s="21"/>
      <c r="D171" s="32"/>
      <c r="E171" s="32"/>
      <c r="F171" s="32"/>
      <c r="G171" s="32"/>
      <c r="H171" s="32"/>
      <c r="I171" s="32"/>
      <c r="J171" s="32"/>
      <c r="K171" s="32"/>
      <c r="L171" s="25"/>
    </row>
    <row r="172" spans="2:12" x14ac:dyDescent="0.2">
      <c r="B172" s="21"/>
      <c r="D172" s="32"/>
      <c r="E172" s="32"/>
      <c r="F172" s="32"/>
      <c r="G172" s="32"/>
      <c r="H172" s="32"/>
      <c r="I172" s="32"/>
      <c r="J172" s="32"/>
      <c r="K172" s="32"/>
      <c r="L172" s="25"/>
    </row>
    <row r="173" spans="2:12" x14ac:dyDescent="0.2">
      <c r="B173" s="21"/>
      <c r="D173" s="32"/>
      <c r="E173" s="32"/>
      <c r="F173" s="32"/>
      <c r="G173" s="32"/>
      <c r="H173" s="32"/>
      <c r="I173" s="32"/>
      <c r="J173" s="32"/>
      <c r="K173" s="32"/>
      <c r="L173" s="25"/>
    </row>
    <row r="174" spans="2:12" x14ac:dyDescent="0.2">
      <c r="B174" s="21"/>
      <c r="D174" s="32"/>
      <c r="E174" s="32"/>
      <c r="F174" s="32"/>
      <c r="G174" s="32"/>
      <c r="H174" s="32"/>
      <c r="I174" s="32"/>
      <c r="J174" s="32"/>
      <c r="K174" s="32"/>
      <c r="L174" s="25"/>
    </row>
    <row r="175" spans="2:12" x14ac:dyDescent="0.2">
      <c r="B175" s="21"/>
      <c r="D175" s="32"/>
      <c r="E175" s="32"/>
      <c r="F175" s="32"/>
      <c r="G175" s="32"/>
      <c r="H175" s="32"/>
      <c r="I175" s="32"/>
      <c r="J175" s="32"/>
      <c r="K175" s="32"/>
      <c r="L175" s="25"/>
    </row>
    <row r="176" spans="2:12" x14ac:dyDescent="0.2">
      <c r="B176" s="21"/>
      <c r="D176" s="32"/>
      <c r="E176" s="32"/>
      <c r="F176" s="32"/>
      <c r="G176" s="32"/>
      <c r="H176" s="32"/>
      <c r="I176" s="32"/>
      <c r="J176" s="32"/>
      <c r="K176" s="32"/>
      <c r="L176" s="25"/>
    </row>
    <row r="177" spans="2:12" x14ac:dyDescent="0.2">
      <c r="B177" s="21"/>
      <c r="D177" s="32"/>
      <c r="E177" s="32"/>
      <c r="F177" s="32"/>
      <c r="G177" s="32"/>
      <c r="H177" s="32"/>
      <c r="I177" s="32"/>
      <c r="J177" s="32"/>
      <c r="K177" s="32"/>
      <c r="L177" s="25"/>
    </row>
    <row r="178" spans="2:12" x14ac:dyDescent="0.2">
      <c r="B178" s="21"/>
      <c r="D178" s="32"/>
      <c r="E178" s="32"/>
      <c r="F178" s="32"/>
      <c r="G178" s="32"/>
      <c r="H178" s="32"/>
      <c r="I178" s="32"/>
      <c r="J178" s="32"/>
      <c r="K178" s="32"/>
      <c r="L178" s="25"/>
    </row>
    <row r="179" spans="2:12" x14ac:dyDescent="0.2">
      <c r="B179" s="21"/>
      <c r="D179" s="32"/>
      <c r="E179" s="32"/>
      <c r="F179" s="32"/>
      <c r="G179" s="32"/>
      <c r="H179" s="32"/>
      <c r="I179" s="32"/>
      <c r="J179" s="32"/>
      <c r="K179" s="32"/>
      <c r="L179" s="25"/>
    </row>
    <row r="180" spans="2:12" x14ac:dyDescent="0.2">
      <c r="B180" s="21"/>
      <c r="D180" s="32"/>
      <c r="E180" s="32"/>
      <c r="F180" s="32"/>
      <c r="G180" s="32"/>
      <c r="H180" s="32"/>
      <c r="I180" s="32"/>
      <c r="J180" s="32"/>
      <c r="K180" s="32"/>
      <c r="L180" s="25"/>
    </row>
    <row r="181" spans="2:12" x14ac:dyDescent="0.2">
      <c r="B181" s="21"/>
      <c r="D181" s="32"/>
      <c r="E181" s="32"/>
      <c r="F181" s="32"/>
      <c r="G181" s="32"/>
      <c r="H181" s="32"/>
      <c r="I181" s="32"/>
      <c r="J181" s="32"/>
      <c r="K181" s="32"/>
      <c r="L181" s="25"/>
    </row>
    <row r="182" spans="2:12" x14ac:dyDescent="0.2">
      <c r="B182" s="21"/>
      <c r="D182" s="32"/>
      <c r="E182" s="32"/>
      <c r="F182" s="32"/>
      <c r="G182" s="32"/>
      <c r="H182" s="32"/>
      <c r="I182" s="32"/>
      <c r="J182" s="32"/>
      <c r="K182" s="32"/>
      <c r="L182" s="25"/>
    </row>
    <row r="183" spans="2:12" x14ac:dyDescent="0.2">
      <c r="B183" s="21"/>
      <c r="D183" s="32"/>
      <c r="E183" s="32"/>
      <c r="F183" s="32"/>
      <c r="G183" s="32"/>
      <c r="H183" s="32"/>
      <c r="I183" s="32"/>
      <c r="J183" s="32"/>
      <c r="K183" s="32"/>
      <c r="L183" s="25"/>
    </row>
    <row r="184" spans="2:12" x14ac:dyDescent="0.2">
      <c r="B184" s="21"/>
      <c r="D184" s="32"/>
      <c r="E184" s="32"/>
      <c r="F184" s="32"/>
      <c r="G184" s="32"/>
      <c r="H184" s="32"/>
      <c r="I184" s="32"/>
      <c r="J184" s="32"/>
      <c r="K184" s="32"/>
      <c r="L184" s="25"/>
    </row>
    <row r="185" spans="2:12" x14ac:dyDescent="0.2">
      <c r="B185" s="21"/>
      <c r="D185" s="32"/>
      <c r="E185" s="32"/>
      <c r="F185" s="32"/>
      <c r="G185" s="32"/>
      <c r="H185" s="32"/>
      <c r="I185" s="32"/>
      <c r="J185" s="32"/>
      <c r="K185" s="32"/>
      <c r="L185" s="25"/>
    </row>
    <row r="186" spans="2:12" x14ac:dyDescent="0.2">
      <c r="B186" s="21"/>
      <c r="D186" s="32"/>
      <c r="E186" s="32"/>
      <c r="F186" s="32"/>
      <c r="G186" s="32"/>
      <c r="H186" s="32"/>
      <c r="I186" s="32"/>
      <c r="J186" s="32"/>
      <c r="K186" s="32"/>
      <c r="L186" s="25"/>
    </row>
    <row r="187" spans="2:12" x14ac:dyDescent="0.2">
      <c r="B187" s="21"/>
      <c r="D187" s="32"/>
      <c r="E187" s="32"/>
      <c r="F187" s="32"/>
      <c r="G187" s="32"/>
      <c r="H187" s="32"/>
      <c r="I187" s="32"/>
      <c r="J187" s="32"/>
      <c r="K187" s="32"/>
      <c r="L187" s="25"/>
    </row>
    <row r="188" spans="2:12" x14ac:dyDescent="0.2">
      <c r="B188" s="21"/>
      <c r="D188" s="32"/>
      <c r="E188" s="32"/>
      <c r="F188" s="32"/>
      <c r="G188" s="32"/>
      <c r="H188" s="32"/>
      <c r="I188" s="32"/>
      <c r="J188" s="32"/>
      <c r="K188" s="32"/>
      <c r="L188" s="25"/>
    </row>
    <row r="189" spans="2:12" x14ac:dyDescent="0.2">
      <c r="B189" s="21"/>
      <c r="D189" s="32"/>
      <c r="E189" s="32"/>
      <c r="F189" s="32"/>
      <c r="G189" s="32"/>
      <c r="H189" s="32"/>
      <c r="I189" s="32"/>
      <c r="J189" s="32"/>
      <c r="K189" s="32"/>
      <c r="L189" s="25"/>
    </row>
    <row r="190" spans="2:12" x14ac:dyDescent="0.2">
      <c r="B190" s="21"/>
      <c r="D190" s="32"/>
      <c r="E190" s="32"/>
      <c r="F190" s="32"/>
      <c r="G190" s="32"/>
      <c r="H190" s="32"/>
      <c r="I190" s="32"/>
      <c r="J190" s="32"/>
      <c r="K190" s="32"/>
      <c r="L190" s="25"/>
    </row>
    <row r="191" spans="2:12" x14ac:dyDescent="0.2">
      <c r="B191" s="21"/>
      <c r="D191" s="32"/>
      <c r="E191" s="32"/>
      <c r="F191" s="32"/>
      <c r="G191" s="32"/>
      <c r="H191" s="32"/>
      <c r="I191" s="32"/>
      <c r="J191" s="32"/>
      <c r="K191" s="32"/>
      <c r="L191" s="25"/>
    </row>
    <row r="192" spans="2:12" x14ac:dyDescent="0.2">
      <c r="B192" s="21"/>
      <c r="D192" s="32"/>
      <c r="E192" s="32"/>
      <c r="F192" s="32"/>
      <c r="G192" s="32"/>
      <c r="H192" s="32"/>
      <c r="I192" s="32"/>
      <c r="J192" s="32"/>
      <c r="K192" s="32"/>
      <c r="L192" s="25"/>
    </row>
    <row r="193" spans="2:12" x14ac:dyDescent="0.2">
      <c r="B193" s="21"/>
      <c r="D193" s="32"/>
      <c r="E193" s="32"/>
      <c r="F193" s="32"/>
      <c r="G193" s="32"/>
      <c r="H193" s="32"/>
      <c r="I193" s="32"/>
      <c r="J193" s="32"/>
      <c r="K193" s="32"/>
      <c r="L193" s="25"/>
    </row>
    <row r="194" spans="2:12" x14ac:dyDescent="0.2">
      <c r="B194" s="21"/>
      <c r="D194" s="32"/>
      <c r="E194" s="32"/>
      <c r="F194" s="32"/>
      <c r="G194" s="32"/>
      <c r="H194" s="32"/>
      <c r="I194" s="32"/>
      <c r="J194" s="32"/>
      <c r="K194" s="32"/>
      <c r="L194" s="25"/>
    </row>
    <row r="195" spans="2:12" x14ac:dyDescent="0.2">
      <c r="B195" s="21"/>
      <c r="D195" s="32"/>
      <c r="E195" s="32"/>
      <c r="F195" s="32"/>
      <c r="G195" s="32"/>
      <c r="H195" s="32"/>
      <c r="I195" s="32"/>
      <c r="J195" s="32"/>
      <c r="K195" s="32"/>
      <c r="L195" s="25"/>
    </row>
    <row r="196" spans="2:12" x14ac:dyDescent="0.2">
      <c r="B196" s="21"/>
      <c r="D196" s="32"/>
      <c r="E196" s="32"/>
      <c r="F196" s="32"/>
      <c r="G196" s="32"/>
      <c r="H196" s="32"/>
      <c r="I196" s="32"/>
      <c r="J196" s="32"/>
      <c r="K196" s="32"/>
      <c r="L196" s="25"/>
    </row>
    <row r="197" spans="2:12" x14ac:dyDescent="0.2">
      <c r="B197" s="21"/>
      <c r="D197" s="32"/>
      <c r="E197" s="32"/>
      <c r="F197" s="32"/>
      <c r="G197" s="32"/>
      <c r="H197" s="32"/>
      <c r="I197" s="32"/>
      <c r="J197" s="32"/>
      <c r="K197" s="32"/>
      <c r="L197" s="25"/>
    </row>
    <row r="198" spans="2:12" x14ac:dyDescent="0.2">
      <c r="B198" s="21"/>
      <c r="D198" s="32"/>
      <c r="E198" s="32"/>
      <c r="F198" s="32"/>
      <c r="G198" s="32"/>
      <c r="H198" s="32"/>
      <c r="I198" s="32"/>
      <c r="J198" s="32"/>
      <c r="K198" s="32"/>
      <c r="L198" s="25"/>
    </row>
    <row r="199" spans="2:12" x14ac:dyDescent="0.2">
      <c r="B199" s="21"/>
      <c r="D199" s="32"/>
      <c r="E199" s="32"/>
      <c r="F199" s="32"/>
      <c r="G199" s="32"/>
      <c r="H199" s="32"/>
      <c r="I199" s="32"/>
      <c r="J199" s="32"/>
      <c r="K199" s="32"/>
      <c r="L199" s="25"/>
    </row>
    <row r="200" spans="2:12" x14ac:dyDescent="0.2">
      <c r="B200" s="21"/>
      <c r="D200" s="32"/>
      <c r="E200" s="32"/>
      <c r="F200" s="32"/>
      <c r="G200" s="32"/>
      <c r="H200" s="32"/>
      <c r="I200" s="32"/>
      <c r="J200" s="32"/>
      <c r="K200" s="32"/>
      <c r="L200" s="25"/>
    </row>
    <row r="201" spans="2:12" x14ac:dyDescent="0.2">
      <c r="B201" s="21"/>
      <c r="D201" s="32"/>
      <c r="E201" s="32"/>
      <c r="F201" s="32"/>
      <c r="G201" s="32"/>
      <c r="H201" s="32"/>
      <c r="I201" s="32"/>
      <c r="J201" s="32"/>
      <c r="K201" s="32"/>
      <c r="L201" s="25"/>
    </row>
    <row r="202" spans="2:12" x14ac:dyDescent="0.2">
      <c r="B202" s="21"/>
      <c r="D202" s="32"/>
      <c r="E202" s="32"/>
      <c r="F202" s="32"/>
      <c r="G202" s="32"/>
      <c r="H202" s="32"/>
      <c r="I202" s="32"/>
      <c r="J202" s="32"/>
      <c r="K202" s="32"/>
      <c r="L202" s="25"/>
    </row>
    <row r="203" spans="2:12" x14ac:dyDescent="0.2">
      <c r="B203" s="21"/>
      <c r="D203" s="32"/>
      <c r="E203" s="32"/>
      <c r="F203" s="32"/>
      <c r="G203" s="32"/>
      <c r="H203" s="32"/>
      <c r="I203" s="32"/>
      <c r="J203" s="32"/>
      <c r="K203" s="32"/>
      <c r="L203" s="25"/>
    </row>
    <row r="204" spans="2:12" x14ac:dyDescent="0.2">
      <c r="B204" s="21"/>
      <c r="D204" s="32"/>
      <c r="E204" s="32"/>
      <c r="F204" s="32"/>
      <c r="G204" s="32"/>
      <c r="H204" s="32"/>
      <c r="I204" s="32"/>
      <c r="J204" s="32"/>
      <c r="K204" s="32"/>
      <c r="L204" s="25"/>
    </row>
    <row r="205" spans="2:12" x14ac:dyDescent="0.2">
      <c r="B205" s="21"/>
      <c r="D205" s="32"/>
      <c r="E205" s="32"/>
      <c r="F205" s="32"/>
      <c r="G205" s="32"/>
      <c r="H205" s="32"/>
      <c r="I205" s="32"/>
      <c r="J205" s="32"/>
      <c r="K205" s="32"/>
      <c r="L205" s="25"/>
    </row>
    <row r="206" spans="2:12" x14ac:dyDescent="0.2">
      <c r="B206" s="21"/>
      <c r="D206" s="32"/>
      <c r="E206" s="32"/>
      <c r="F206" s="32"/>
      <c r="G206" s="32"/>
      <c r="H206" s="32"/>
      <c r="I206" s="32"/>
      <c r="J206" s="32"/>
      <c r="K206" s="32"/>
      <c r="L206" s="25"/>
    </row>
    <row r="207" spans="2:12" x14ac:dyDescent="0.2">
      <c r="B207" s="21"/>
      <c r="D207" s="32"/>
      <c r="E207" s="32"/>
      <c r="F207" s="32"/>
      <c r="G207" s="32"/>
      <c r="H207" s="32"/>
      <c r="I207" s="32"/>
      <c r="J207" s="32"/>
      <c r="K207" s="32"/>
      <c r="L207" s="25"/>
    </row>
    <row r="208" spans="2:12" x14ac:dyDescent="0.2">
      <c r="B208" s="21"/>
      <c r="D208" s="32"/>
      <c r="E208" s="32"/>
      <c r="F208" s="32"/>
      <c r="G208" s="32"/>
      <c r="H208" s="32"/>
      <c r="I208" s="32"/>
      <c r="J208" s="32"/>
      <c r="K208" s="32"/>
      <c r="L208" s="25"/>
    </row>
    <row r="209" spans="2:12" x14ac:dyDescent="0.2">
      <c r="B209" s="21"/>
      <c r="D209" s="32"/>
      <c r="E209" s="32"/>
      <c r="F209" s="32"/>
      <c r="G209" s="32"/>
      <c r="H209" s="32"/>
      <c r="I209" s="32"/>
      <c r="J209" s="32"/>
      <c r="K209" s="32"/>
      <c r="L209" s="25"/>
    </row>
    <row r="210" spans="2:12" x14ac:dyDescent="0.2">
      <c r="B210" s="21"/>
      <c r="D210" s="32"/>
      <c r="E210" s="32"/>
      <c r="F210" s="32"/>
      <c r="G210" s="32"/>
      <c r="H210" s="32"/>
      <c r="I210" s="32"/>
      <c r="J210" s="32"/>
      <c r="K210" s="32"/>
      <c r="L210" s="25"/>
    </row>
    <row r="211" spans="2:12" x14ac:dyDescent="0.2">
      <c r="B211" s="21"/>
      <c r="D211" s="32"/>
      <c r="E211" s="32"/>
      <c r="F211" s="32"/>
      <c r="G211" s="32"/>
      <c r="H211" s="32"/>
      <c r="I211" s="32"/>
      <c r="J211" s="32"/>
      <c r="K211" s="32"/>
      <c r="L211" s="25"/>
    </row>
    <row r="212" spans="2:12" x14ac:dyDescent="0.2">
      <c r="B212" s="21"/>
      <c r="D212" s="32"/>
      <c r="E212" s="32"/>
      <c r="F212" s="32"/>
      <c r="G212" s="32"/>
      <c r="H212" s="32"/>
      <c r="I212" s="32"/>
      <c r="J212" s="32"/>
      <c r="K212" s="32"/>
      <c r="L212" s="25"/>
    </row>
    <row r="213" spans="2:12" x14ac:dyDescent="0.2">
      <c r="B213" s="21"/>
      <c r="D213" s="32"/>
      <c r="E213" s="32"/>
      <c r="F213" s="32"/>
      <c r="G213" s="32"/>
      <c r="H213" s="32"/>
      <c r="I213" s="32"/>
      <c r="J213" s="32"/>
      <c r="K213" s="32"/>
      <c r="L213" s="25"/>
    </row>
    <row r="214" spans="2:12" x14ac:dyDescent="0.2">
      <c r="B214" s="21"/>
      <c r="D214" s="32"/>
      <c r="E214" s="32"/>
      <c r="F214" s="32"/>
      <c r="G214" s="32"/>
      <c r="H214" s="32"/>
      <c r="I214" s="32"/>
      <c r="J214" s="32"/>
      <c r="K214" s="32"/>
      <c r="L214" s="25"/>
    </row>
    <row r="215" spans="2:12" x14ac:dyDescent="0.2">
      <c r="B215" s="21"/>
      <c r="D215" s="32"/>
      <c r="E215" s="32"/>
      <c r="F215" s="32"/>
      <c r="G215" s="32"/>
      <c r="H215" s="32"/>
      <c r="I215" s="32"/>
      <c r="J215" s="32"/>
      <c r="K215" s="32"/>
      <c r="L215" s="25"/>
    </row>
    <row r="216" spans="2:12" x14ac:dyDescent="0.2">
      <c r="B216" s="21"/>
      <c r="D216" s="32"/>
      <c r="E216" s="32"/>
      <c r="F216" s="32"/>
      <c r="G216" s="32"/>
      <c r="H216" s="32"/>
      <c r="I216" s="32"/>
      <c r="J216" s="32"/>
      <c r="K216" s="32"/>
      <c r="L216" s="25"/>
    </row>
    <row r="217" spans="2:12" x14ac:dyDescent="0.2">
      <c r="B217" s="21"/>
      <c r="D217" s="32"/>
      <c r="E217" s="32"/>
      <c r="F217" s="32"/>
      <c r="G217" s="32"/>
      <c r="H217" s="32"/>
      <c r="I217" s="32"/>
      <c r="J217" s="32"/>
      <c r="K217" s="32"/>
    </row>
    <row r="218" spans="2:12" x14ac:dyDescent="0.2">
      <c r="B218" s="21"/>
      <c r="D218" s="32"/>
      <c r="E218" s="32"/>
      <c r="F218" s="32"/>
      <c r="G218" s="32"/>
      <c r="H218" s="32"/>
      <c r="I218" s="32"/>
      <c r="J218" s="32"/>
      <c r="K218" s="32"/>
    </row>
    <row r="219" spans="2:12" x14ac:dyDescent="0.2">
      <c r="B219" s="21"/>
      <c r="D219" s="32"/>
      <c r="E219" s="32"/>
      <c r="F219" s="32"/>
      <c r="G219" s="32"/>
      <c r="H219" s="32"/>
      <c r="I219" s="32"/>
      <c r="J219" s="32"/>
      <c r="K219" s="32"/>
    </row>
    <row r="220" spans="2:12" x14ac:dyDescent="0.2">
      <c r="B220" s="21"/>
      <c r="D220" s="32"/>
      <c r="E220" s="32"/>
      <c r="F220" s="32"/>
      <c r="G220" s="32"/>
      <c r="H220" s="32"/>
      <c r="I220" s="32"/>
      <c r="J220" s="32"/>
      <c r="K220" s="32"/>
    </row>
    <row r="221" spans="2:12" x14ac:dyDescent="0.2">
      <c r="B221" s="21"/>
      <c r="D221" s="32"/>
      <c r="E221" s="32"/>
      <c r="F221" s="32"/>
      <c r="G221" s="32"/>
      <c r="H221" s="32"/>
      <c r="I221" s="32"/>
      <c r="J221" s="32"/>
      <c r="K221" s="32"/>
    </row>
    <row r="222" spans="2:12" x14ac:dyDescent="0.2">
      <c r="B222" s="21"/>
      <c r="D222" s="32"/>
      <c r="E222" s="32"/>
      <c r="F222" s="32"/>
      <c r="G222" s="32"/>
      <c r="H222" s="32"/>
      <c r="I222" s="32"/>
      <c r="J222" s="32"/>
      <c r="K222" s="32"/>
    </row>
    <row r="223" spans="2:12" x14ac:dyDescent="0.2">
      <c r="B223" s="21"/>
      <c r="D223" s="32"/>
      <c r="E223" s="32"/>
      <c r="F223" s="32"/>
      <c r="G223" s="32"/>
      <c r="H223" s="32"/>
      <c r="I223" s="32"/>
      <c r="J223" s="32"/>
      <c r="K223" s="32"/>
    </row>
    <row r="224" spans="2:12" x14ac:dyDescent="0.2">
      <c r="B224" s="21"/>
      <c r="D224" s="32"/>
      <c r="E224" s="32"/>
      <c r="F224" s="32"/>
      <c r="G224" s="32"/>
      <c r="H224" s="32"/>
      <c r="I224" s="32"/>
      <c r="J224" s="32"/>
      <c r="K224" s="32"/>
    </row>
    <row r="225" spans="2:11" x14ac:dyDescent="0.2">
      <c r="B225" s="21"/>
      <c r="D225" s="32"/>
      <c r="E225" s="32"/>
      <c r="F225" s="32"/>
      <c r="G225" s="32"/>
      <c r="H225" s="32"/>
      <c r="I225" s="32"/>
      <c r="J225" s="32"/>
      <c r="K225" s="32"/>
    </row>
    <row r="226" spans="2:11" x14ac:dyDescent="0.2">
      <c r="B226" s="21"/>
      <c r="D226" s="32"/>
      <c r="E226" s="32"/>
      <c r="F226" s="32"/>
      <c r="G226" s="32"/>
      <c r="H226" s="32"/>
      <c r="I226" s="32"/>
      <c r="J226" s="32"/>
      <c r="K226" s="32"/>
    </row>
    <row r="227" spans="2:11" x14ac:dyDescent="0.2">
      <c r="B227" s="21"/>
      <c r="D227" s="32"/>
      <c r="E227" s="32"/>
      <c r="F227" s="32"/>
      <c r="G227" s="32"/>
      <c r="H227" s="32"/>
      <c r="I227" s="32"/>
      <c r="J227" s="32"/>
      <c r="K227" s="32"/>
    </row>
    <row r="228" spans="2:11" x14ac:dyDescent="0.2">
      <c r="B228" s="21"/>
      <c r="D228" s="32"/>
      <c r="E228" s="32"/>
      <c r="F228" s="32"/>
      <c r="G228" s="32"/>
      <c r="H228" s="32"/>
      <c r="I228" s="32"/>
      <c r="J228" s="32"/>
      <c r="K228" s="32"/>
    </row>
    <row r="229" spans="2:11" x14ac:dyDescent="0.2">
      <c r="B229" s="21"/>
      <c r="D229" s="32"/>
      <c r="E229" s="32"/>
      <c r="F229" s="32"/>
      <c r="G229" s="32"/>
      <c r="H229" s="32"/>
      <c r="I229" s="32"/>
      <c r="J229" s="32"/>
      <c r="K229" s="32"/>
    </row>
    <row r="230" spans="2:11" x14ac:dyDescent="0.2">
      <c r="B230" s="21"/>
      <c r="D230" s="32"/>
      <c r="E230" s="32"/>
      <c r="F230" s="32"/>
      <c r="G230" s="32"/>
      <c r="H230" s="32"/>
      <c r="I230" s="32"/>
      <c r="J230" s="32"/>
      <c r="K230" s="32"/>
    </row>
    <row r="231" spans="2:11" x14ac:dyDescent="0.2">
      <c r="B231" s="21"/>
      <c r="D231" s="32"/>
      <c r="E231" s="32"/>
      <c r="F231" s="32"/>
      <c r="G231" s="32"/>
      <c r="H231" s="32"/>
      <c r="I231" s="32"/>
      <c r="J231" s="32"/>
      <c r="K231" s="32"/>
    </row>
    <row r="232" spans="2:11" x14ac:dyDescent="0.2">
      <c r="B232" s="21"/>
      <c r="D232" s="32"/>
      <c r="E232" s="32"/>
      <c r="F232" s="32"/>
      <c r="G232" s="32"/>
      <c r="H232" s="32"/>
      <c r="I232" s="32"/>
      <c r="J232" s="32"/>
      <c r="K232" s="32"/>
    </row>
    <row r="233" spans="2:11" x14ac:dyDescent="0.2">
      <c r="B233" s="21"/>
      <c r="D233" s="32"/>
      <c r="E233" s="32"/>
      <c r="F233" s="32"/>
      <c r="G233" s="32"/>
      <c r="H233" s="32"/>
      <c r="I233" s="32"/>
      <c r="J233" s="32"/>
      <c r="K233" s="32"/>
    </row>
    <row r="234" spans="2:11" x14ac:dyDescent="0.2">
      <c r="B234" s="21"/>
      <c r="D234" s="32"/>
      <c r="E234" s="32"/>
      <c r="F234" s="32"/>
      <c r="G234" s="32"/>
      <c r="H234" s="32"/>
      <c r="I234" s="32"/>
      <c r="J234" s="32"/>
      <c r="K234" s="32"/>
    </row>
    <row r="235" spans="2:11" x14ac:dyDescent="0.2">
      <c r="B235" s="21"/>
      <c r="D235" s="32"/>
      <c r="E235" s="32"/>
      <c r="F235" s="32"/>
      <c r="G235" s="32"/>
      <c r="H235" s="32"/>
      <c r="I235" s="32"/>
      <c r="J235" s="32"/>
      <c r="K235" s="32"/>
    </row>
    <row r="236" spans="2:11" x14ac:dyDescent="0.2">
      <c r="B236" s="21"/>
      <c r="D236" s="32"/>
      <c r="E236" s="32"/>
      <c r="F236" s="32"/>
      <c r="G236" s="32"/>
      <c r="H236" s="32"/>
      <c r="I236" s="32"/>
      <c r="J236" s="32"/>
      <c r="K236" s="32"/>
    </row>
    <row r="237" spans="2:11" x14ac:dyDescent="0.2">
      <c r="B237" s="21"/>
      <c r="D237" s="32"/>
      <c r="E237" s="32"/>
      <c r="F237" s="32"/>
      <c r="G237" s="32"/>
      <c r="H237" s="32"/>
      <c r="I237" s="32"/>
      <c r="J237" s="32"/>
      <c r="K237" s="32"/>
    </row>
    <row r="238" spans="2:11" x14ac:dyDescent="0.2">
      <c r="B238" s="21"/>
      <c r="D238" s="32"/>
      <c r="E238" s="32"/>
      <c r="F238" s="32"/>
      <c r="G238" s="32"/>
      <c r="H238" s="32"/>
      <c r="I238" s="32"/>
      <c r="J238" s="32"/>
      <c r="K238" s="32"/>
    </row>
    <row r="239" spans="2:11" x14ac:dyDescent="0.2">
      <c r="B239" s="21"/>
      <c r="D239" s="32"/>
      <c r="E239" s="32"/>
      <c r="F239" s="32"/>
      <c r="G239" s="32"/>
      <c r="H239" s="32"/>
      <c r="I239" s="32"/>
      <c r="J239" s="32"/>
      <c r="K239" s="32"/>
    </row>
    <row r="240" spans="2:11" x14ac:dyDescent="0.2">
      <c r="B240" s="21"/>
      <c r="D240" s="32"/>
      <c r="E240" s="32"/>
      <c r="F240" s="32"/>
      <c r="G240" s="32"/>
      <c r="H240" s="32"/>
      <c r="I240" s="32"/>
      <c r="J240" s="32"/>
      <c r="K240" s="32"/>
    </row>
    <row r="241" spans="2:11" x14ac:dyDescent="0.2">
      <c r="B241" s="21"/>
      <c r="D241" s="32"/>
      <c r="E241" s="32"/>
      <c r="F241" s="32"/>
      <c r="G241" s="32"/>
      <c r="H241" s="32"/>
      <c r="I241" s="32"/>
      <c r="J241" s="32"/>
      <c r="K241" s="32"/>
    </row>
    <row r="242" spans="2:11" x14ac:dyDescent="0.2">
      <c r="B242" s="21"/>
      <c r="D242" s="32"/>
      <c r="E242" s="32"/>
      <c r="F242" s="32"/>
      <c r="G242" s="32"/>
      <c r="H242" s="32"/>
      <c r="I242" s="32"/>
      <c r="J242" s="32"/>
      <c r="K242" s="32"/>
    </row>
    <row r="243" spans="2:11" x14ac:dyDescent="0.2">
      <c r="B243" s="21"/>
      <c r="D243" s="32"/>
      <c r="E243" s="32"/>
      <c r="F243" s="32"/>
      <c r="G243" s="32"/>
      <c r="H243" s="32"/>
      <c r="I243" s="32"/>
      <c r="J243" s="32"/>
      <c r="K243" s="32"/>
    </row>
    <row r="244" spans="2:11" x14ac:dyDescent="0.2">
      <c r="B244" s="21"/>
      <c r="D244" s="32"/>
      <c r="E244" s="32"/>
      <c r="F244" s="32"/>
      <c r="G244" s="32"/>
      <c r="H244" s="32"/>
      <c r="I244" s="32"/>
      <c r="J244" s="32"/>
      <c r="K244" s="32"/>
    </row>
    <row r="245" spans="2:11" x14ac:dyDescent="0.2">
      <c r="B245" s="21"/>
      <c r="D245" s="32"/>
      <c r="E245" s="32"/>
      <c r="F245" s="32"/>
      <c r="G245" s="32"/>
      <c r="H245" s="32"/>
      <c r="I245" s="32"/>
      <c r="J245" s="32"/>
      <c r="K245" s="32"/>
    </row>
    <row r="246" spans="2:11" x14ac:dyDescent="0.2">
      <c r="B246" s="21"/>
      <c r="D246" s="32"/>
      <c r="E246" s="32"/>
      <c r="F246" s="32"/>
      <c r="G246" s="32"/>
      <c r="H246" s="32"/>
      <c r="I246" s="32"/>
      <c r="J246" s="32"/>
      <c r="K246" s="32"/>
    </row>
    <row r="247" spans="2:11" x14ac:dyDescent="0.2">
      <c r="B247" s="21"/>
      <c r="D247" s="32"/>
      <c r="E247" s="32"/>
      <c r="F247" s="32"/>
      <c r="G247" s="32"/>
      <c r="H247" s="32"/>
      <c r="I247" s="32"/>
      <c r="J247" s="32"/>
      <c r="K247" s="32"/>
    </row>
    <row r="248" spans="2:11" x14ac:dyDescent="0.2">
      <c r="B248" s="21"/>
      <c r="D248" s="32"/>
      <c r="E248" s="32"/>
      <c r="F248" s="32"/>
      <c r="G248" s="32"/>
      <c r="H248" s="32"/>
      <c r="I248" s="32"/>
      <c r="J248" s="32"/>
      <c r="K248" s="32"/>
    </row>
    <row r="249" spans="2:11" x14ac:dyDescent="0.2">
      <c r="B249" s="21"/>
      <c r="D249" s="32"/>
      <c r="E249" s="32"/>
      <c r="F249" s="32"/>
      <c r="G249" s="32"/>
      <c r="H249" s="32"/>
      <c r="I249" s="32"/>
      <c r="J249" s="32"/>
      <c r="K249" s="32"/>
    </row>
    <row r="250" spans="2:11" x14ac:dyDescent="0.2">
      <c r="B250" s="21"/>
      <c r="D250" s="32"/>
      <c r="E250" s="32"/>
      <c r="F250" s="32"/>
      <c r="G250" s="32"/>
      <c r="H250" s="32"/>
      <c r="I250" s="32"/>
      <c r="J250" s="32"/>
      <c r="K250" s="32"/>
    </row>
    <row r="251" spans="2:11" x14ac:dyDescent="0.2">
      <c r="B251" s="21"/>
      <c r="D251" s="32"/>
      <c r="E251" s="32"/>
      <c r="F251" s="32"/>
      <c r="G251" s="32"/>
      <c r="H251" s="32"/>
      <c r="I251" s="32"/>
      <c r="J251" s="32"/>
      <c r="K251" s="32"/>
    </row>
    <row r="252" spans="2:11" x14ac:dyDescent="0.2">
      <c r="B252" s="21"/>
      <c r="D252" s="32"/>
      <c r="E252" s="32"/>
      <c r="F252" s="32"/>
      <c r="G252" s="32"/>
      <c r="H252" s="32"/>
      <c r="I252" s="32"/>
      <c r="J252" s="32"/>
      <c r="K252" s="32"/>
    </row>
    <row r="253" spans="2:11" x14ac:dyDescent="0.2">
      <c r="B253" s="21"/>
      <c r="D253" s="32"/>
      <c r="E253" s="32"/>
      <c r="F253" s="32"/>
      <c r="G253" s="32"/>
      <c r="H253" s="32"/>
      <c r="I253" s="32"/>
      <c r="J253" s="32"/>
      <c r="K253" s="32"/>
    </row>
    <row r="254" spans="2:11" x14ac:dyDescent="0.2">
      <c r="B254" s="21"/>
      <c r="D254" s="32"/>
      <c r="E254" s="32"/>
      <c r="F254" s="32"/>
      <c r="G254" s="32"/>
      <c r="H254" s="32"/>
      <c r="I254" s="32"/>
      <c r="J254" s="32"/>
      <c r="K254" s="32"/>
    </row>
    <row r="255" spans="2:11" x14ac:dyDescent="0.2">
      <c r="B255" s="21"/>
      <c r="D255" s="32"/>
      <c r="E255" s="32"/>
      <c r="F255" s="32"/>
      <c r="G255" s="32"/>
      <c r="H255" s="32"/>
      <c r="I255" s="32"/>
      <c r="J255" s="32"/>
      <c r="K255" s="32"/>
    </row>
    <row r="256" spans="2:11" x14ac:dyDescent="0.2">
      <c r="B256" s="21"/>
      <c r="D256" s="32"/>
      <c r="E256" s="32"/>
      <c r="F256" s="32"/>
      <c r="G256" s="32"/>
      <c r="H256" s="32"/>
      <c r="I256" s="32"/>
      <c r="J256" s="32"/>
      <c r="K256" s="32"/>
    </row>
    <row r="257" spans="2:11" x14ac:dyDescent="0.2">
      <c r="B257" s="21"/>
      <c r="D257" s="32"/>
      <c r="E257" s="32"/>
      <c r="F257" s="32"/>
      <c r="G257" s="32"/>
      <c r="H257" s="32"/>
      <c r="I257" s="32"/>
      <c r="J257" s="32"/>
      <c r="K257" s="32"/>
    </row>
    <row r="258" spans="2:11" x14ac:dyDescent="0.2">
      <c r="B258" s="21"/>
      <c r="D258" s="32"/>
      <c r="E258" s="32"/>
      <c r="F258" s="32"/>
      <c r="G258" s="32"/>
      <c r="H258" s="32"/>
      <c r="I258" s="32"/>
      <c r="J258" s="32"/>
      <c r="K258" s="32"/>
    </row>
    <row r="259" spans="2:11" x14ac:dyDescent="0.2">
      <c r="B259" s="21"/>
      <c r="D259" s="32"/>
      <c r="E259" s="32"/>
      <c r="F259" s="32"/>
      <c r="G259" s="32"/>
      <c r="H259" s="32"/>
      <c r="I259" s="32"/>
      <c r="J259" s="32"/>
      <c r="K259" s="32"/>
    </row>
    <row r="260" spans="2:11" x14ac:dyDescent="0.2">
      <c r="B260" s="21"/>
      <c r="D260" s="32"/>
      <c r="E260" s="32"/>
      <c r="F260" s="32"/>
      <c r="G260" s="32"/>
      <c r="H260" s="32"/>
      <c r="I260" s="32"/>
      <c r="J260" s="32"/>
      <c r="K260" s="32"/>
    </row>
    <row r="261" spans="2:11" x14ac:dyDescent="0.2">
      <c r="B261" s="21"/>
      <c r="D261" s="32"/>
      <c r="E261" s="32"/>
      <c r="F261" s="32"/>
      <c r="G261" s="32"/>
      <c r="H261" s="32"/>
      <c r="I261" s="32"/>
      <c r="J261" s="32"/>
      <c r="K261" s="32"/>
    </row>
    <row r="262" spans="2:11" x14ac:dyDescent="0.2">
      <c r="B262" s="21"/>
      <c r="D262" s="32"/>
      <c r="E262" s="32"/>
      <c r="F262" s="32"/>
      <c r="G262" s="32"/>
      <c r="H262" s="32"/>
      <c r="I262" s="32"/>
      <c r="J262" s="32"/>
      <c r="K262" s="32"/>
    </row>
    <row r="263" spans="2:11" x14ac:dyDescent="0.2">
      <c r="B263" s="21"/>
      <c r="D263" s="32"/>
      <c r="E263" s="32"/>
      <c r="F263" s="32"/>
      <c r="G263" s="32"/>
      <c r="H263" s="32"/>
      <c r="I263" s="32"/>
      <c r="J263" s="32"/>
      <c r="K263" s="32"/>
    </row>
    <row r="264" spans="2:11" x14ac:dyDescent="0.2">
      <c r="B264" s="21"/>
      <c r="D264" s="32"/>
      <c r="E264" s="32"/>
      <c r="F264" s="32"/>
      <c r="G264" s="32"/>
      <c r="H264" s="32"/>
      <c r="I264" s="32"/>
      <c r="J264" s="32"/>
      <c r="K264" s="32"/>
    </row>
    <row r="265" spans="2:11" x14ac:dyDescent="0.2">
      <c r="B265" s="21"/>
      <c r="D265" s="32"/>
      <c r="E265" s="32"/>
      <c r="F265" s="32"/>
      <c r="G265" s="32"/>
      <c r="H265" s="32"/>
      <c r="I265" s="32"/>
      <c r="J265" s="32"/>
      <c r="K265" s="32"/>
    </row>
    <row r="266" spans="2:11" x14ac:dyDescent="0.2">
      <c r="B266" s="21"/>
      <c r="D266" s="32"/>
      <c r="E266" s="32"/>
      <c r="F266" s="32"/>
      <c r="G266" s="32"/>
      <c r="H266" s="32"/>
      <c r="I266" s="32"/>
      <c r="J266" s="32"/>
      <c r="K266" s="32"/>
    </row>
    <row r="267" spans="2:11" x14ac:dyDescent="0.2">
      <c r="B267" s="21"/>
      <c r="D267" s="32"/>
      <c r="E267" s="32"/>
      <c r="F267" s="32"/>
      <c r="G267" s="32"/>
      <c r="H267" s="32"/>
      <c r="I267" s="32"/>
      <c r="J267" s="32"/>
      <c r="K267" s="32"/>
    </row>
    <row r="268" spans="2:11" x14ac:dyDescent="0.2">
      <c r="B268" s="21"/>
      <c r="D268" s="32"/>
      <c r="E268" s="32"/>
      <c r="F268" s="32"/>
      <c r="G268" s="32"/>
      <c r="H268" s="32"/>
      <c r="I268" s="32"/>
      <c r="J268" s="32"/>
      <c r="K268" s="32"/>
    </row>
    <row r="269" spans="2:11" x14ac:dyDescent="0.2">
      <c r="B269" s="21"/>
      <c r="D269" s="32"/>
      <c r="E269" s="32"/>
      <c r="F269" s="32"/>
      <c r="G269" s="32"/>
      <c r="H269" s="32"/>
      <c r="I269" s="32"/>
      <c r="J269" s="32"/>
      <c r="K269" s="32"/>
    </row>
    <row r="270" spans="2:11" x14ac:dyDescent="0.2">
      <c r="B270" s="21"/>
      <c r="D270" s="32"/>
      <c r="E270" s="32"/>
      <c r="F270" s="32"/>
      <c r="G270" s="32"/>
      <c r="H270" s="32"/>
      <c r="I270" s="32"/>
      <c r="J270" s="32"/>
      <c r="K270" s="32"/>
    </row>
    <row r="271" spans="2:11" x14ac:dyDescent="0.2">
      <c r="B271" s="21"/>
      <c r="D271" s="32"/>
      <c r="E271" s="32"/>
      <c r="F271" s="32"/>
      <c r="G271" s="32"/>
      <c r="H271" s="32"/>
      <c r="I271" s="32"/>
      <c r="J271" s="32"/>
      <c r="K271" s="32"/>
    </row>
    <row r="272" spans="2:11" x14ac:dyDescent="0.2">
      <c r="B272" s="21"/>
      <c r="D272" s="32"/>
      <c r="E272" s="32"/>
      <c r="F272" s="32"/>
      <c r="G272" s="32"/>
      <c r="H272" s="32"/>
      <c r="I272" s="32"/>
      <c r="J272" s="32"/>
      <c r="K272" s="32"/>
    </row>
    <row r="273" spans="2:11" x14ac:dyDescent="0.2">
      <c r="B273" s="21"/>
      <c r="D273" s="32"/>
      <c r="E273" s="32"/>
      <c r="F273" s="32"/>
      <c r="G273" s="32"/>
      <c r="H273" s="32"/>
      <c r="I273" s="32"/>
      <c r="J273" s="32"/>
      <c r="K273" s="32"/>
    </row>
    <row r="274" spans="2:11" x14ac:dyDescent="0.2">
      <c r="B274" s="21"/>
      <c r="D274" s="32"/>
      <c r="E274" s="32"/>
      <c r="F274" s="32"/>
      <c r="G274" s="32"/>
      <c r="H274" s="32"/>
      <c r="I274" s="32"/>
      <c r="J274" s="32"/>
      <c r="K274" s="32"/>
    </row>
    <row r="275" spans="2:11" x14ac:dyDescent="0.2">
      <c r="B275" s="21"/>
      <c r="D275" s="32"/>
      <c r="E275" s="32"/>
      <c r="F275" s="32"/>
      <c r="G275" s="32"/>
      <c r="H275" s="32"/>
      <c r="I275" s="32"/>
      <c r="J275" s="32"/>
      <c r="K275" s="32"/>
    </row>
    <row r="276" spans="2:11" x14ac:dyDescent="0.2">
      <c r="B276" s="21"/>
      <c r="D276" s="32"/>
      <c r="E276" s="32"/>
      <c r="F276" s="32"/>
      <c r="G276" s="32"/>
      <c r="H276" s="32"/>
      <c r="I276" s="32"/>
      <c r="J276" s="32"/>
      <c r="K276" s="32"/>
    </row>
    <row r="277" spans="2:11" x14ac:dyDescent="0.2">
      <c r="B277" s="21"/>
      <c r="D277" s="32"/>
      <c r="E277" s="32"/>
      <c r="F277" s="32"/>
      <c r="G277" s="32"/>
      <c r="H277" s="32"/>
      <c r="I277" s="32"/>
      <c r="J277" s="32"/>
      <c r="K277" s="32"/>
    </row>
    <row r="278" spans="2:11" x14ac:dyDescent="0.2">
      <c r="B278" s="21"/>
      <c r="D278" s="32"/>
      <c r="E278" s="32"/>
      <c r="F278" s="32"/>
      <c r="G278" s="32"/>
      <c r="H278" s="32"/>
      <c r="I278" s="32"/>
      <c r="J278" s="32"/>
      <c r="K278" s="32"/>
    </row>
    <row r="279" spans="2:11" x14ac:dyDescent="0.2">
      <c r="B279" s="21"/>
      <c r="D279" s="32"/>
      <c r="E279" s="32"/>
      <c r="F279" s="32"/>
      <c r="G279" s="32"/>
      <c r="H279" s="32"/>
      <c r="I279" s="32"/>
      <c r="J279" s="32"/>
      <c r="K279" s="32"/>
    </row>
    <row r="280" spans="2:11" x14ac:dyDescent="0.2">
      <c r="B280" s="21"/>
      <c r="D280" s="32"/>
      <c r="E280" s="32"/>
      <c r="F280" s="32"/>
      <c r="G280" s="32"/>
      <c r="H280" s="32"/>
      <c r="I280" s="32"/>
      <c r="J280" s="32"/>
      <c r="K280" s="32"/>
    </row>
    <row r="281" spans="2:11" x14ac:dyDescent="0.2">
      <c r="B281" s="21"/>
      <c r="D281" s="32"/>
      <c r="E281" s="32"/>
      <c r="F281" s="32"/>
      <c r="G281" s="32"/>
      <c r="H281" s="32"/>
      <c r="I281" s="32"/>
      <c r="J281" s="32"/>
      <c r="K281" s="32"/>
    </row>
    <row r="282" spans="2:11" x14ac:dyDescent="0.2">
      <c r="B282" s="21"/>
      <c r="D282" s="32"/>
      <c r="E282" s="32"/>
      <c r="F282" s="32"/>
      <c r="G282" s="32"/>
      <c r="H282" s="32"/>
      <c r="I282" s="32"/>
      <c r="J282" s="32"/>
      <c r="K282" s="32"/>
    </row>
    <row r="283" spans="2:11" x14ac:dyDescent="0.2">
      <c r="B283" s="21"/>
      <c r="D283" s="32"/>
      <c r="E283" s="32"/>
      <c r="F283" s="32"/>
      <c r="G283" s="32"/>
      <c r="H283" s="32"/>
      <c r="I283" s="32"/>
      <c r="J283" s="32"/>
      <c r="K283" s="32"/>
    </row>
    <row r="284" spans="2:11" x14ac:dyDescent="0.2">
      <c r="B284" s="21"/>
      <c r="D284" s="32"/>
      <c r="E284" s="32"/>
      <c r="F284" s="32"/>
      <c r="G284" s="32"/>
      <c r="H284" s="32"/>
      <c r="I284" s="32"/>
      <c r="J284" s="32"/>
      <c r="K284" s="32"/>
    </row>
    <row r="285" spans="2:11" x14ac:dyDescent="0.2">
      <c r="B285" s="21"/>
      <c r="D285" s="32"/>
      <c r="E285" s="32"/>
      <c r="F285" s="32"/>
      <c r="G285" s="32"/>
      <c r="H285" s="32"/>
      <c r="I285" s="32"/>
      <c r="J285" s="32"/>
      <c r="K285" s="32"/>
    </row>
    <row r="286" spans="2:11" x14ac:dyDescent="0.2">
      <c r="B286" s="21"/>
      <c r="D286" s="32"/>
      <c r="E286" s="32"/>
      <c r="F286" s="32"/>
      <c r="G286" s="32"/>
      <c r="H286" s="32"/>
      <c r="I286" s="32"/>
      <c r="J286" s="32"/>
      <c r="K286" s="32"/>
    </row>
    <row r="287" spans="2:11" x14ac:dyDescent="0.2">
      <c r="B287" s="21"/>
      <c r="D287" s="32"/>
      <c r="E287" s="32"/>
      <c r="F287" s="32"/>
      <c r="G287" s="32"/>
      <c r="H287" s="32"/>
      <c r="I287" s="32"/>
      <c r="J287" s="32"/>
      <c r="K287" s="32"/>
    </row>
    <row r="288" spans="2:11" x14ac:dyDescent="0.2">
      <c r="B288" s="21"/>
      <c r="D288" s="32"/>
      <c r="E288" s="32"/>
      <c r="F288" s="32"/>
      <c r="G288" s="32"/>
      <c r="H288" s="32"/>
      <c r="I288" s="32"/>
      <c r="J288" s="32"/>
      <c r="K288" s="32"/>
    </row>
    <row r="289" spans="2:11" x14ac:dyDescent="0.2">
      <c r="B289" s="21"/>
      <c r="D289" s="32"/>
      <c r="E289" s="32"/>
      <c r="F289" s="32"/>
      <c r="G289" s="32"/>
      <c r="H289" s="32"/>
      <c r="I289" s="32"/>
      <c r="J289" s="32"/>
      <c r="K289" s="32"/>
    </row>
    <row r="290" spans="2:11" x14ac:dyDescent="0.2">
      <c r="B290" s="21"/>
      <c r="D290" s="32"/>
      <c r="E290" s="32"/>
      <c r="F290" s="32"/>
      <c r="G290" s="32"/>
      <c r="H290" s="32"/>
      <c r="I290" s="32"/>
      <c r="J290" s="32"/>
      <c r="K290" s="32"/>
    </row>
    <row r="291" spans="2:11" x14ac:dyDescent="0.2">
      <c r="B291" s="21"/>
      <c r="D291" s="32"/>
      <c r="E291" s="32"/>
      <c r="F291" s="32"/>
      <c r="G291" s="32"/>
      <c r="H291" s="32"/>
      <c r="I291" s="32"/>
      <c r="J291" s="32"/>
      <c r="K291" s="32"/>
    </row>
    <row r="292" spans="2:11" x14ac:dyDescent="0.2">
      <c r="B292" s="21"/>
      <c r="D292" s="32"/>
      <c r="E292" s="32"/>
      <c r="F292" s="32"/>
      <c r="G292" s="32"/>
      <c r="H292" s="32"/>
      <c r="I292" s="32"/>
      <c r="J292" s="32"/>
      <c r="K292" s="32"/>
    </row>
    <row r="293" spans="2:11" x14ac:dyDescent="0.2">
      <c r="B293" s="21"/>
      <c r="D293" s="32"/>
      <c r="E293" s="32"/>
      <c r="F293" s="32"/>
      <c r="G293" s="32"/>
      <c r="H293" s="32"/>
      <c r="I293" s="32"/>
      <c r="J293" s="32"/>
      <c r="K293" s="32"/>
    </row>
    <row r="294" spans="2:11" x14ac:dyDescent="0.2">
      <c r="B294" s="21"/>
      <c r="D294" s="32"/>
      <c r="E294" s="32"/>
      <c r="F294" s="32"/>
      <c r="G294" s="32"/>
      <c r="H294" s="32"/>
      <c r="I294" s="32"/>
      <c r="J294" s="32"/>
      <c r="K294" s="32"/>
    </row>
    <row r="295" spans="2:11" x14ac:dyDescent="0.2">
      <c r="B295" s="21"/>
      <c r="D295" s="32"/>
      <c r="E295" s="32"/>
      <c r="F295" s="32"/>
      <c r="G295" s="32"/>
      <c r="H295" s="32"/>
      <c r="I295" s="32"/>
      <c r="J295" s="32"/>
      <c r="K295" s="32"/>
    </row>
    <row r="296" spans="2:11" x14ac:dyDescent="0.2">
      <c r="B296" s="21"/>
      <c r="D296" s="32"/>
      <c r="E296" s="32"/>
      <c r="F296" s="32"/>
      <c r="G296" s="32"/>
      <c r="H296" s="32"/>
      <c r="I296" s="32"/>
      <c r="J296" s="32"/>
      <c r="K296" s="32"/>
    </row>
    <row r="297" spans="2:11" x14ac:dyDescent="0.2">
      <c r="B297" s="21"/>
      <c r="D297" s="32"/>
      <c r="E297" s="32"/>
      <c r="F297" s="32"/>
      <c r="G297" s="32"/>
      <c r="H297" s="32"/>
      <c r="I297" s="32"/>
      <c r="J297" s="32"/>
      <c r="K297" s="32"/>
    </row>
    <row r="298" spans="2:11" x14ac:dyDescent="0.2">
      <c r="B298" s="21"/>
      <c r="D298" s="32"/>
      <c r="E298" s="32"/>
      <c r="F298" s="32"/>
      <c r="G298" s="32"/>
      <c r="H298" s="32"/>
      <c r="I298" s="32"/>
      <c r="J298" s="32"/>
      <c r="K298" s="32"/>
    </row>
  </sheetData>
  <sheetProtection selectLockedCells="1"/>
  <mergeCells count="10">
    <mergeCell ref="D8:I8"/>
    <mergeCell ref="A1:C1"/>
    <mergeCell ref="A8:A9"/>
    <mergeCell ref="K8:K9"/>
    <mergeCell ref="J8:J9"/>
    <mergeCell ref="C8:C9"/>
    <mergeCell ref="B8:B9"/>
    <mergeCell ref="A4:B4"/>
    <mergeCell ref="D4:K4"/>
    <mergeCell ref="C3:J3"/>
  </mergeCells>
  <phoneticPr fontId="0" type="noConversion"/>
  <pageMargins left="0.54" right="0.46" top="0.57999999999999996" bottom="0.48" header="0.511811023622047" footer="0.3"/>
  <pageSetup paperSize="9" scale="59" fitToHeight="0" orientation="landscape" r:id="rId1"/>
  <headerFooter alignWithMargins="0">
    <oddFooter>Page &amp;P of &amp;N</oddFooter>
  </headerFooter>
  <rowBreaks count="1" manualBreakCount="1">
    <brk id="7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5"/>
    <pageSetUpPr fitToPage="1"/>
  </sheetPr>
  <dimension ref="A1:K1312"/>
  <sheetViews>
    <sheetView tabSelected="1" view="pageBreakPreview" topLeftCell="A799" zoomScaleNormal="100" zoomScaleSheetLayoutView="100" workbookViewId="0">
      <selection activeCell="A812" sqref="A812"/>
    </sheetView>
  </sheetViews>
  <sheetFormatPr defaultRowHeight="11.25" x14ac:dyDescent="0.2"/>
  <cols>
    <col min="1" max="1" width="65" style="248" customWidth="1"/>
    <col min="2" max="2" width="13.42578125" style="271" customWidth="1"/>
    <col min="3" max="3" width="13" style="255" bestFit="1" customWidth="1"/>
    <col min="4" max="4" width="13.28515625" style="248" bestFit="1" customWidth="1"/>
    <col min="5" max="5" width="12.42578125" style="248" customWidth="1"/>
    <col min="6" max="6" width="6.85546875" style="286" bestFit="1" customWidth="1"/>
    <col min="7" max="7" width="11.28515625" style="248" bestFit="1" customWidth="1"/>
    <col min="8" max="8" width="10.140625" style="248" bestFit="1" customWidth="1"/>
    <col min="9" max="10" width="9.140625" style="248"/>
    <col min="11" max="11" width="13.5703125" style="248" bestFit="1" customWidth="1"/>
    <col min="12" max="16384" width="9.140625" style="248"/>
  </cols>
  <sheetData>
    <row r="1" spans="1:8" x14ac:dyDescent="0.2">
      <c r="B1" s="249">
        <v>6.2E-2</v>
      </c>
      <c r="C1" s="250">
        <v>6.4000000000000001E-2</v>
      </c>
      <c r="D1" s="251">
        <v>5.8000000000000003E-2</v>
      </c>
      <c r="E1" s="251">
        <v>5.8000000000000003E-2</v>
      </c>
    </row>
    <row r="2" spans="1:8" ht="27.75" x14ac:dyDescent="0.2">
      <c r="A2" s="350" t="s">
        <v>666</v>
      </c>
      <c r="B2" s="350"/>
      <c r="C2" s="351"/>
      <c r="D2" s="351"/>
      <c r="E2" s="252"/>
    </row>
    <row r="3" spans="1:8" ht="18" x14ac:dyDescent="0.25">
      <c r="A3" s="329" t="s">
        <v>795</v>
      </c>
      <c r="B3" s="254"/>
    </row>
    <row r="4" spans="1:8" ht="23.25" x14ac:dyDescent="0.35">
      <c r="A4" s="256" t="s">
        <v>171</v>
      </c>
      <c r="B4" s="254"/>
      <c r="C4" s="257"/>
      <c r="D4" s="258">
        <f ca="1">NOW()</f>
        <v>43011.405967361112</v>
      </c>
      <c r="E4" s="259">
        <v>42874</v>
      </c>
    </row>
    <row r="5" spans="1:8" ht="18" x14ac:dyDescent="0.25">
      <c r="A5" s="260"/>
      <c r="B5" s="254"/>
    </row>
    <row r="6" spans="1:8" ht="18" x14ac:dyDescent="0.25">
      <c r="A6" s="253" t="s">
        <v>558</v>
      </c>
      <c r="B6" s="254"/>
    </row>
    <row r="7" spans="1:8" x14ac:dyDescent="0.2">
      <c r="B7" s="332" t="s">
        <v>522</v>
      </c>
      <c r="C7" s="331" t="s">
        <v>522</v>
      </c>
    </row>
    <row r="8" spans="1:8" x14ac:dyDescent="0.2">
      <c r="A8" s="262"/>
      <c r="B8" s="263" t="s">
        <v>521</v>
      </c>
      <c r="C8" s="261" t="s">
        <v>207</v>
      </c>
      <c r="D8" s="264" t="s">
        <v>207</v>
      </c>
      <c r="E8" s="264" t="s">
        <v>207</v>
      </c>
    </row>
    <row r="9" spans="1:8" x14ac:dyDescent="0.2">
      <c r="B9" s="265" t="s">
        <v>490</v>
      </c>
      <c r="C9" s="266" t="s">
        <v>471</v>
      </c>
      <c r="D9" s="267" t="s">
        <v>489</v>
      </c>
      <c r="E9" s="267" t="s">
        <v>557</v>
      </c>
    </row>
    <row r="10" spans="1:8" x14ac:dyDescent="0.2">
      <c r="B10" s="268"/>
      <c r="H10" s="248">
        <f>C269+C279+C334+C347+C406+C416+C471+C481+C537+C674+C951+C1067</f>
        <v>68927935.216875017</v>
      </c>
    </row>
    <row r="11" spans="1:8" ht="15.75" x14ac:dyDescent="0.25">
      <c r="A11" s="269" t="s">
        <v>170</v>
      </c>
      <c r="B11" s="268"/>
    </row>
    <row r="12" spans="1:8" x14ac:dyDescent="0.2">
      <c r="B12" s="268"/>
    </row>
    <row r="13" spans="1:8" x14ac:dyDescent="0.2">
      <c r="A13" s="270" t="s">
        <v>208</v>
      </c>
    </row>
    <row r="14" spans="1:8" x14ac:dyDescent="0.2">
      <c r="A14" s="262"/>
    </row>
    <row r="15" spans="1:8" x14ac:dyDescent="0.2">
      <c r="A15" s="262" t="s">
        <v>161</v>
      </c>
      <c r="B15" s="272">
        <f>SUMIF($A$252:$A$1259,"SALARIES",B$252:B$1259)</f>
        <v>61133591</v>
      </c>
      <c r="C15" s="273">
        <f>SUMIF($A$252:$A$1259,"SALARIES",C$252:C$1259)</f>
        <v>68200035.570000023</v>
      </c>
      <c r="D15" s="271">
        <f>SUMIF($A$252:$A$1259,"SALARIES",D$252:D$1259)</f>
        <v>72155700</v>
      </c>
      <c r="E15" s="271">
        <f>SUMIF($A$252:$A$1259,"SALARIES",E$252:E$1259)</f>
        <v>76340600</v>
      </c>
    </row>
    <row r="16" spans="1:8" x14ac:dyDescent="0.2">
      <c r="A16" s="262" t="s">
        <v>195</v>
      </c>
      <c r="B16" s="272">
        <f>SUMIF($A$252:$A$1259,"BONUS",B$252:B$1259)</f>
        <v>5230417</v>
      </c>
      <c r="C16" s="273">
        <f>SUMIF($A$252:$A$1259,"BONUS",C$252:C$1259)</f>
        <v>5813586.3703000015</v>
      </c>
      <c r="D16" s="271">
        <f>SUMIF($A$252:$A$1259,"BONUS",D$252:D$1259)</f>
        <v>6150600</v>
      </c>
      <c r="E16" s="271">
        <f>SUMIF($A$252:$A$1259,"BONUS",E$252:E$1259)</f>
        <v>6507500</v>
      </c>
    </row>
    <row r="17" spans="1:5" x14ac:dyDescent="0.2">
      <c r="A17" s="262" t="s">
        <v>157</v>
      </c>
      <c r="B17" s="272">
        <f>SUMIF($A$252:$A$1259,"ACTING ALLOWANCE",B$252:B$1259)</f>
        <v>1125000</v>
      </c>
      <c r="C17" s="273">
        <f>SUMIF($A$252:$A$1259,"ACTING ALLOWANCE",C$252:C$1259)</f>
        <v>835000</v>
      </c>
      <c r="D17" s="271">
        <f>SUMIF($A$252:$A$1259,"ACTING ALLOWANCE",D$252:D$1259)</f>
        <v>883300</v>
      </c>
      <c r="E17" s="271">
        <f>SUMIF($A$252:$A$1259,"ACTING ALLOWANCE",E$252:E$1259)</f>
        <v>934500</v>
      </c>
    </row>
    <row r="18" spans="1:5" x14ac:dyDescent="0.2">
      <c r="A18" s="262" t="s">
        <v>330</v>
      </c>
      <c r="B18" s="272">
        <f>SUMIF($A$252:$A$1259,"ALLOWANCE TELEPHONE",B$252:B$1259)</f>
        <v>0</v>
      </c>
      <c r="C18" s="273">
        <f>SUMIF($A$252:$A$1259,"ALLOWANCE TELEPHONE",C$252:C$1259)</f>
        <v>0</v>
      </c>
      <c r="D18" s="271">
        <f>SUMIF($A$252:$A$1259,"ALLOWANCE TELEPHONE",D$252:D$1259)</f>
        <v>0</v>
      </c>
      <c r="E18" s="271">
        <f>SUMIF($A$252:$A$1259,"ALLOWANCE TELEPHONE",E$252:E$1259)</f>
        <v>0</v>
      </c>
    </row>
    <row r="19" spans="1:5" x14ac:dyDescent="0.2">
      <c r="A19" s="262" t="s">
        <v>162</v>
      </c>
      <c r="B19" s="272">
        <f>SUMIF($A$252:$A$1259,"HOUSING ALLOWANCES",B$252:B$1259)</f>
        <v>1311288</v>
      </c>
      <c r="C19" s="273">
        <f>SUMIF($A$252:$A$1259,"HOUSING ALLOWANCES",C$252:C$1259)</f>
        <v>1412088</v>
      </c>
      <c r="D19" s="271">
        <f>SUMIF($A$252:$A$1259,"HOUSING ALLOWANCES",D$252:D$1259)</f>
        <v>1494100</v>
      </c>
      <c r="E19" s="271">
        <f>SUMIF($A$252:$A$1259,"HOUSING ALLOWANCES",E$252:E$1259)</f>
        <v>1580600</v>
      </c>
    </row>
    <row r="20" spans="1:5" x14ac:dyDescent="0.2">
      <c r="A20" s="262" t="s">
        <v>163</v>
      </c>
      <c r="B20" s="272">
        <f>SUMIF($A$252:$A$1259,"MEDICAL FUND COUNCIL CONTRIBUTION",B$252:B$1259)</f>
        <v>6917474</v>
      </c>
      <c r="C20" s="273">
        <f>SUMIF($A$252:$A$1259,"MEDICAL FUND COUNCIL CONTRIBUTION",C$252:C$1259)</f>
        <v>8300507.879999998</v>
      </c>
      <c r="D20" s="271">
        <f>SUMIF($A$252:$A$1259,"MEDICAL FUND COUNCIL CONTRIBUTION",D$252:D$1259)</f>
        <v>8782100</v>
      </c>
      <c r="E20" s="271">
        <f>SUMIF($A$252:$A$1259,"MEDICAL FUND COUNCIL CONTRIBUTION",E$252:E$1259)</f>
        <v>9291600</v>
      </c>
    </row>
    <row r="21" spans="1:5" x14ac:dyDescent="0.2">
      <c r="A21" s="262" t="s">
        <v>164</v>
      </c>
      <c r="B21" s="272">
        <f>SUMIF($A$252:$A$1259,"OVERTIME",B$252:B$1259)</f>
        <v>784268</v>
      </c>
      <c r="C21" s="273">
        <f>SUMIF($A$252:$A$1259,"OVERTIME",C$252:C$1259)</f>
        <v>824268</v>
      </c>
      <c r="D21" s="271">
        <f>SUMIF($A$252:$A$1259,"OVERTIME",D$252:D$1259)</f>
        <v>872100</v>
      </c>
      <c r="E21" s="271">
        <f>SUMIF($A$252:$A$1259,"OVERTIME",E$252:E$1259)</f>
        <v>922600</v>
      </c>
    </row>
    <row r="22" spans="1:5" x14ac:dyDescent="0.2">
      <c r="A22" s="262" t="s">
        <v>133</v>
      </c>
      <c r="B22" s="272">
        <f>SUMIF($A$252:$A$1259,"PENSION FUND COUNCIL CONTRIBUTION",B$252:B$1259)</f>
        <v>12384662</v>
      </c>
      <c r="C22" s="273">
        <f>SUMIF($A$252:$A$1259,"PENSION FUND COUNCIL CONTRIBUTION",C$252:C$1259)</f>
        <v>14007034.705000004</v>
      </c>
      <c r="D22" s="271">
        <f>SUMIF($A$252:$A$1259,"PENSION FUND COUNCIL CONTRIBUTION",D$252:D$1259)</f>
        <v>14819300</v>
      </c>
      <c r="E22" s="271">
        <f>SUMIF($A$252:$A$1259,"PENSION FUND COUNCIL CONTRIBUTION",E$252:E$1259)</f>
        <v>15678900</v>
      </c>
    </row>
    <row r="23" spans="1:5" x14ac:dyDescent="0.2">
      <c r="A23" s="262" t="s">
        <v>275</v>
      </c>
      <c r="B23" s="272">
        <f>SUMIF($A$252:$A$1259,"REDEMPTION OF LEAVE",B$252:B$1259)</f>
        <v>74015</v>
      </c>
      <c r="C23" s="273">
        <f>SUMIF($A$252:$A$1259,"REDEMPTION OF LEAVE",C$252:C$1259)</f>
        <v>0</v>
      </c>
      <c r="D23" s="271">
        <f>SUMIF($A$252:$A$1259,"REDEMPTION OF LEAVE",D$252:D$1259)</f>
        <v>0</v>
      </c>
      <c r="E23" s="271">
        <f>SUMIF($A$252:$A$1259,"REDEMPTION OF LEAVE",E$252:E$1259)</f>
        <v>0</v>
      </c>
    </row>
    <row r="24" spans="1:5" x14ac:dyDescent="0.2">
      <c r="A24" s="262" t="s">
        <v>165</v>
      </c>
      <c r="B24" s="272">
        <f>SUMIF($A$252:$A$1259,"TRAVELING ALLOWANCES",B$252:B$1259)</f>
        <v>14291280</v>
      </c>
      <c r="C24" s="273">
        <f>SUMIF($A$252:$A$1259,"TRAVELING ALLOWANCES",C$252:C$1259)</f>
        <v>14927400</v>
      </c>
      <c r="D24" s="271">
        <f>SUMIF($A$252:$A$1259,"TRAVELING ALLOWANCES",D$252:D$1259)</f>
        <v>15793200</v>
      </c>
      <c r="E24" s="271">
        <f>SUMIF($A$252:$A$1259,"TRAVELING ALLOWANCES",E$252:E$1259)</f>
        <v>16709200</v>
      </c>
    </row>
    <row r="25" spans="1:5" x14ac:dyDescent="0.2">
      <c r="A25" s="262" t="s">
        <v>166</v>
      </c>
      <c r="B25" s="272">
        <f>SUMIF($A$252:$A$1259,"UNEMPLOYMENT INSURANCE FUND",B$252:B$1259)</f>
        <v>360631</v>
      </c>
      <c r="C25" s="273">
        <f>SUMIF($A$252:$A$1259,"UNEMPLOYMENT INSURANCE FUND",C$252:C$1259)</f>
        <v>321642</v>
      </c>
      <c r="D25" s="271">
        <f>SUMIF($A$252:$A$1259,"UNEMPLOYMENT INSURANCE FUND",D$252:D$1259)</f>
        <v>340300</v>
      </c>
      <c r="E25" s="271">
        <f>SUMIF($A$252:$A$1259,"UNEMPLOYMENT INSURANCE FUND",E$252:E$1259)</f>
        <v>360100</v>
      </c>
    </row>
    <row r="26" spans="1:5" x14ac:dyDescent="0.2">
      <c r="A26" s="262" t="s">
        <v>167</v>
      </c>
      <c r="B26" s="272">
        <f>SUMIF($A$252:$A$1259,"S.A.R.S SKILLS LEVY",B$252:B$1259)</f>
        <v>690451</v>
      </c>
      <c r="C26" s="273">
        <f>SUMIF($A$252:$A$1259,"S.A.R.S SKILLS LEVY",C$252:C$1259)</f>
        <v>794788.75047500001</v>
      </c>
      <c r="D26" s="271">
        <f>SUMIF($A$252:$A$1259,"S.A.R.S SKILLS LEVY",D$252:D$1259)</f>
        <v>846300</v>
      </c>
      <c r="E26" s="271">
        <f>SUMIF($A$252:$A$1259,"S.A.R.S SKILLS LEVY",E$252:E$1259)</f>
        <v>895764</v>
      </c>
    </row>
    <row r="27" spans="1:5" x14ac:dyDescent="0.2">
      <c r="A27" s="262" t="s">
        <v>168</v>
      </c>
      <c r="B27" s="272">
        <f>SUMIF($A$252:$A$1259,"INDUSTRIAL LEVY",B$252:B$1259)</f>
        <v>14353</v>
      </c>
      <c r="C27" s="273">
        <f>SUMIF($A$252:$A$1259,"INDUSTRIAL LEVY",C$252:C$1259)</f>
        <v>15996</v>
      </c>
      <c r="D27" s="271">
        <f>SUMIF($A$252:$A$1259,"INDUSTRIAL LEVY",D$252:D$1259)</f>
        <v>16000</v>
      </c>
      <c r="E27" s="271">
        <f>SUMIF($A$252:$A$1259,"INDUSTRIAL LEVY",E$252:E$1259)</f>
        <v>15936</v>
      </c>
    </row>
    <row r="28" spans="1:5" x14ac:dyDescent="0.2">
      <c r="A28" s="262" t="s">
        <v>4</v>
      </c>
      <c r="B28" s="272">
        <f>SUMIF($A$252:$A$1259,"STAND-BY",B$252:B$1259)</f>
        <v>14900</v>
      </c>
      <c r="C28" s="273">
        <f>SUMIF($A$252:$A$1259,"STAND-BY",C$252:C$1259)</f>
        <v>10900</v>
      </c>
      <c r="D28" s="271">
        <f>SUMIF($A$252:$A$1259,"STAND-BY",D$252:D$1259)</f>
        <v>11500</v>
      </c>
      <c r="E28" s="271">
        <f>SUMIF($A$252:$A$1259,"STAND-BY",E$252:E$1259)</f>
        <v>12200</v>
      </c>
    </row>
    <row r="29" spans="1:5" x14ac:dyDescent="0.2">
      <c r="B29" s="272"/>
      <c r="C29" s="273"/>
      <c r="D29" s="272"/>
      <c r="E29" s="272"/>
    </row>
    <row r="30" spans="1:5" ht="12" thickBot="1" x14ac:dyDescent="0.25">
      <c r="A30" s="262" t="s">
        <v>209</v>
      </c>
      <c r="B30" s="274">
        <f>SUM(B15:B28)</f>
        <v>104332330</v>
      </c>
      <c r="C30" s="275">
        <f>SUM(C15:C28)</f>
        <v>115463247.27577502</v>
      </c>
      <c r="D30" s="276">
        <f>SUM(D15:D28)</f>
        <v>122164500</v>
      </c>
      <c r="E30" s="276">
        <f>SUM(E15:E28)</f>
        <v>129249500</v>
      </c>
    </row>
    <row r="31" spans="1:5" ht="12" thickTop="1" x14ac:dyDescent="0.2">
      <c r="C31" s="273"/>
      <c r="D31" s="277"/>
      <c r="E31" s="277"/>
    </row>
    <row r="32" spans="1:5" x14ac:dyDescent="0.2">
      <c r="A32" s="278" t="s">
        <v>98</v>
      </c>
      <c r="C32" s="273"/>
      <c r="D32" s="277"/>
      <c r="E32" s="277"/>
    </row>
    <row r="33" spans="1:5" x14ac:dyDescent="0.2">
      <c r="A33" s="262"/>
      <c r="C33" s="273"/>
      <c r="D33" s="271"/>
      <c r="E33" s="271"/>
    </row>
    <row r="34" spans="1:5" x14ac:dyDescent="0.2">
      <c r="A34" s="262" t="s">
        <v>223</v>
      </c>
      <c r="B34" s="272">
        <f>SUMIF($A$252:$A$1259,"ALLOWANCES COUNCILLORS FIXED",B$252:B$1259)</f>
        <v>9866328</v>
      </c>
      <c r="C34" s="273">
        <f>SUMIF($A$252:$A$1259,"ALLOWANCES COUNCILLORS FIXED",C$252:C$1259)</f>
        <v>8938052.4000000022</v>
      </c>
      <c r="D34" s="271">
        <f>SUMIF($A$252:$A$1259,"ALLOWANCES COUNCILLORS FIXED",D$252:D$1259)</f>
        <v>9456400</v>
      </c>
      <c r="E34" s="271">
        <f>SUMIF($A$252:$A$1259,"ALLOWANCES COUNCILLORS FIXED",E$252:E$1259)</f>
        <v>10004900</v>
      </c>
    </row>
    <row r="35" spans="1:5" x14ac:dyDescent="0.2">
      <c r="A35" s="262" t="s">
        <v>225</v>
      </c>
      <c r="B35" s="272">
        <f>SUMIF($A$252:$A$1259,"ALLOWANCES COUNCILLORS HOUSING",B$252:B$1259)</f>
        <v>240729</v>
      </c>
      <c r="C35" s="273">
        <f>SUMIF($A$252:$A$1259,"ALLOWANCES COUNCILLORS HOUSING",C$252:C$1259)</f>
        <v>210000</v>
      </c>
      <c r="D35" s="271">
        <f>SUMIF($A$252:$A$1259,"ALLOWANCES COUNCILLORS HOUSING",D$252:D$1259)</f>
        <v>222200</v>
      </c>
      <c r="E35" s="271">
        <f>SUMIF($A$252:$A$1259,"ALLOWANCES COUNCILLORS HOUSING",E$252:E$1259)</f>
        <v>235000</v>
      </c>
    </row>
    <row r="36" spans="1:5" x14ac:dyDescent="0.2">
      <c r="A36" s="262" t="s">
        <v>404</v>
      </c>
      <c r="B36" s="272">
        <f>SUMIF($A$252:$A$1259,"CONTRIBUTION TO UIF",B$252:B$1259)</f>
        <v>0</v>
      </c>
      <c r="C36" s="273">
        <f>SUMIF($A$252:$A$1259,"CONTRIBUTION TO UIF",C$252:C$1259)</f>
        <v>0</v>
      </c>
      <c r="D36" s="279">
        <f>SUMIF($A$252:$A$1259,"CONTRIBUTION TO UIF",D$252:D$1259)</f>
        <v>0</v>
      </c>
      <c r="E36" s="279">
        <f>SUMIF($A$252:$A$1259,"CONTRIBUTION TO UIF",E$252:E$1259)</f>
        <v>0</v>
      </c>
    </row>
    <row r="37" spans="1:5" x14ac:dyDescent="0.2">
      <c r="A37" s="262" t="s">
        <v>224</v>
      </c>
      <c r="B37" s="272">
        <f>SUMIF($A$252:$A$1259,"ALLOWANCES COUNCILLORS TRAVEL",B$252:B$1259)</f>
        <v>3217340</v>
      </c>
      <c r="C37" s="273">
        <f>SUMIF($A$252:$A$1259,"ALLOWANCES COUNCILLORS TRAVEL",C$252:C$1259)</f>
        <v>2873892</v>
      </c>
      <c r="D37" s="271">
        <f>SUMIF($A$252:$A$1259,"ALLOWANCES COUNCILLORS TRAVEL",D$252:D$1259)</f>
        <v>3040500</v>
      </c>
      <c r="E37" s="271">
        <f>SUMIF($A$252:$A$1259,"ALLOWANCES COUNCILLORS TRAVEL",E$252:E$1259)</f>
        <v>3216800</v>
      </c>
    </row>
    <row r="38" spans="1:5" x14ac:dyDescent="0.2">
      <c r="A38" s="262" t="s">
        <v>242</v>
      </c>
      <c r="B38" s="272">
        <f>SUMIF($A$252:$A$1259,"ALLOWANCES: APPOINTED COUNCILLORS",B$252:B$1259)</f>
        <v>0</v>
      </c>
      <c r="C38" s="273">
        <f>SUMIF($A$252:$A$1259,"ALLOWANCES: APPOINTED COUNCILLORS",C$252:C$1259)</f>
        <v>0</v>
      </c>
      <c r="D38" s="271">
        <f>SUMIF($A$252:$A$1259,"ALLOWANCES: APPOINTED COUNCILLORS",D$252:D$1259)</f>
        <v>0</v>
      </c>
      <c r="E38" s="271">
        <f>SUMIF($A$252:$A$1259,"ALLOWANCES: APPOINTED COUNCILLORS",E$252:E$1259)</f>
        <v>0</v>
      </c>
    </row>
    <row r="39" spans="1:5" x14ac:dyDescent="0.2">
      <c r="A39" s="262" t="s">
        <v>103</v>
      </c>
      <c r="B39" s="272">
        <f>SUMIF($A$252:$A$1259,"CELLPHONE ALLOWANCE: FULL TIME COUNCILLORS",B$252:B$1259)</f>
        <v>259892</v>
      </c>
      <c r="C39" s="273">
        <f>SUMIF($A$252:$A$1259,"CELLPHONE ALLOWANCE: FULL TIME COUNCILLORS",C$252:C$1259)</f>
        <v>229548</v>
      </c>
      <c r="D39" s="271">
        <f>SUMIF($A$252:$A$1259,"CELLPHONE ALLOWANCE: FULL TIME COUNCILLORS",D$252:D$1259)</f>
        <v>242900</v>
      </c>
      <c r="E39" s="271">
        <f>SUMIF($A$252:$A$1259,"CELLPHONE ALLOWANCE: FULL TIME COUNCILLORS",E$252:E$1259)</f>
        <v>257100</v>
      </c>
    </row>
    <row r="40" spans="1:5" x14ac:dyDescent="0.2">
      <c r="A40" s="262" t="s">
        <v>153</v>
      </c>
      <c r="B40" s="272">
        <f>SUMIF($A$252:$A$1259,"PENSION FUND CONTRIBUTION",B$252:B$1259)</f>
        <v>1092191</v>
      </c>
      <c r="C40" s="273">
        <f>SUMIF($A$252:$A$1259,"PENSION FUND CONTRIBUTION",C$252:C$1259)</f>
        <v>893532</v>
      </c>
      <c r="D40" s="271">
        <f>SUMIF($A$252:$A$1259,"PENSION FUND CONTRIBUTION",D$252:D$1259)</f>
        <v>945400</v>
      </c>
      <c r="E40" s="271">
        <f>SUMIF($A$252:$A$1259,"PENSION FUND CONTRIBUTION",E$252:E$1259)</f>
        <v>1000200</v>
      </c>
    </row>
    <row r="41" spans="1:5" x14ac:dyDescent="0.2">
      <c r="A41" s="262" t="s">
        <v>104</v>
      </c>
      <c r="B41" s="272">
        <f>SUMIF($A$252:$A$1259,"CELLPHONE ALLOWANCE: PART TIME COUNCILLORS",B$252:B$1259)</f>
        <v>316498</v>
      </c>
      <c r="C41" s="273">
        <f>SUMIF($A$252:$A$1259,"CELLPHONE ALLOWANCE: PART TIME COUNCILLORS",C$252:C$1259)</f>
        <v>292152</v>
      </c>
      <c r="D41" s="271">
        <f>SUMIF($A$252:$A$1259,"CELLPHONE ALLOWANCE: PART TIME COUNCILLORS",D$252:D$1259)</f>
        <v>309100</v>
      </c>
      <c r="E41" s="271">
        <f>SUMIF($A$252:$A$1259,"CELLPHONE ALLOWANCE: PART TIME COUNCILLORS",E$252:E$1259)</f>
        <v>327000</v>
      </c>
    </row>
    <row r="42" spans="1:5" x14ac:dyDescent="0.2">
      <c r="A42" s="262" t="s">
        <v>102</v>
      </c>
      <c r="B42" s="272">
        <f>SUMIF($A$252:$A$1259,"SITTING ALLOWANCE",B$252:B$1259)</f>
        <v>533073</v>
      </c>
      <c r="C42" s="273">
        <f>SUMIF($A$252:$A$1259,"SITTING ALLOWANCE",C$252:C$1259)</f>
        <v>570388</v>
      </c>
      <c r="D42" s="271">
        <f>SUMIF($A$252:$A$1259,"SITTING ALLOWANCE",D$252:D$1259)</f>
        <v>603500</v>
      </c>
      <c r="E42" s="271">
        <f>SUMIF($A$252:$A$1259,"SITTING ALLOWANCE",E$252:E$1259)</f>
        <v>638500</v>
      </c>
    </row>
    <row r="43" spans="1:5" x14ac:dyDescent="0.2">
      <c r="A43" s="262" t="s">
        <v>148</v>
      </c>
      <c r="B43" s="272">
        <f>SUMIF($A$252:$A$1259,"MEDICAL AID CONTRIBUTION",B$252:B$1259)</f>
        <v>577864</v>
      </c>
      <c r="C43" s="273">
        <f>SUMIF($A$252:$A$1259,"MEDICAL AID CONTRIBUTION",C$252:C$1259)</f>
        <v>1242591.0000000002</v>
      </c>
      <c r="D43" s="271">
        <f>SUMIF($A$252:$A$1259,"MEDICAL AID CONTRIBUTION",D$252:D$1259)</f>
        <v>1314700</v>
      </c>
      <c r="E43" s="271">
        <f>SUMIF($A$252:$A$1259,"MEDICAL AID CONTRIBUTION",E$252:E$1259)</f>
        <v>1391000</v>
      </c>
    </row>
    <row r="44" spans="1:5" x14ac:dyDescent="0.2">
      <c r="A44" s="262"/>
      <c r="B44" s="272"/>
      <c r="C44" s="273"/>
      <c r="D44" s="271"/>
      <c r="E44" s="271"/>
    </row>
    <row r="45" spans="1:5" ht="12" thickBot="1" x14ac:dyDescent="0.25">
      <c r="A45" s="262"/>
      <c r="B45" s="274">
        <f>SUM(B34:B43)</f>
        <v>16103915</v>
      </c>
      <c r="C45" s="275">
        <f>SUM(C34:C43)</f>
        <v>15250155.400000002</v>
      </c>
      <c r="D45" s="276">
        <f>SUM(D34:D43)</f>
        <v>16134700</v>
      </c>
      <c r="E45" s="276">
        <f>SUM(E34:E43)</f>
        <v>17070500</v>
      </c>
    </row>
    <row r="46" spans="1:5" ht="12" thickTop="1" x14ac:dyDescent="0.2">
      <c r="A46" s="262"/>
      <c r="B46" s="280"/>
      <c r="C46" s="281"/>
      <c r="D46" s="280"/>
      <c r="E46" s="280"/>
    </row>
    <row r="47" spans="1:5" x14ac:dyDescent="0.2">
      <c r="A47" s="270" t="s">
        <v>203</v>
      </c>
      <c r="C47" s="273"/>
      <c r="D47" s="271"/>
      <c r="E47" s="271"/>
    </row>
    <row r="48" spans="1:5" x14ac:dyDescent="0.2">
      <c r="A48" s="262"/>
      <c r="C48" s="273"/>
      <c r="D48" s="271"/>
      <c r="E48" s="271"/>
    </row>
    <row r="49" spans="1:5" x14ac:dyDescent="0.2">
      <c r="A49" s="262" t="s">
        <v>274</v>
      </c>
      <c r="B49" s="272">
        <f>SUMIF($A$252:$A$1259,"TOURISM INDABA",B$252:B$1259)</f>
        <v>200000</v>
      </c>
      <c r="C49" s="273">
        <f>SUMIF($A$252:$A$1259,"TOURISM INDABA",C$252:C$1259)</f>
        <v>150000</v>
      </c>
      <c r="D49" s="271">
        <f>SUMIF($A$252:$A$1259,"TOURISM INDABA",D$252:D$1259)</f>
        <v>158700</v>
      </c>
      <c r="E49" s="271">
        <f>SUMIF($A$252:$A$1259,"TOURISM INDABA",E$252:E$1259)</f>
        <v>167900</v>
      </c>
    </row>
    <row r="50" spans="1:5" x14ac:dyDescent="0.2">
      <c r="A50" s="262" t="s">
        <v>0</v>
      </c>
      <c r="B50" s="272">
        <f>SUMIF($A$252:$A$1259,"LED &amp; TOURISM DEVELOPMENT &amp; PROMOTION",B$252:B$1259)</f>
        <v>1000000</v>
      </c>
      <c r="C50" s="273">
        <f>SUMIF($A$252:$A$1259,"LED &amp; TOURISM DEVELOPMENT &amp; PROMOTION",C$252:C$1259)</f>
        <v>1408000</v>
      </c>
      <c r="D50" s="271">
        <f>SUMIF($A$252:$A$1259,"LED &amp; TOURISM DEVELOPMENT &amp; PROMOTION",D$252:D$1259)</f>
        <v>1489700</v>
      </c>
      <c r="E50" s="271">
        <f>SUMIF($A$252:$A$1259,"LED &amp; TOURISM DEVELOPMENT &amp; PROMOTION",E$252:E$1259)</f>
        <v>1576100</v>
      </c>
    </row>
    <row r="51" spans="1:5" x14ac:dyDescent="0.2">
      <c r="A51" s="262" t="s">
        <v>272</v>
      </c>
      <c r="B51" s="272">
        <f>SUMIF($A$252:$A$1259,"AWARENESS CAMPAIGNS",B$252:B$1259)</f>
        <v>650000</v>
      </c>
      <c r="C51" s="273">
        <f>SUMIF($A$252:$A$1259,"AWARENESS CAMPAIGNS",C$252:C$1259)</f>
        <v>650000</v>
      </c>
      <c r="D51" s="271">
        <f>SUMIF($A$252:$A$1259,"AWARENESS CAMPAIGNS",D$252:D$1259)</f>
        <v>687700</v>
      </c>
      <c r="E51" s="271">
        <f>SUMIF($A$252:$A$1259,"AWARENESS CAMPAIGNS",E$252:E$1259)</f>
        <v>727500</v>
      </c>
    </row>
    <row r="52" spans="1:5" x14ac:dyDescent="0.2">
      <c r="A52" s="262" t="s">
        <v>137</v>
      </c>
      <c r="B52" s="272">
        <f>SUMIF($A$252:$A$1259,"ADVERTISING",B$252:B$1259)</f>
        <v>200000</v>
      </c>
      <c r="C52" s="273">
        <f>SUMIF($A$252:$A$1259,"ADVERTISING",C$252:C$1259)</f>
        <v>200000</v>
      </c>
      <c r="D52" s="271">
        <f>SUMIF($A$252:$A$1259,"ADVERTISING",D$252:D$1259)</f>
        <v>211600</v>
      </c>
      <c r="E52" s="271">
        <f>SUMIF($A$252:$A$1259,"ADVERTISING",E$252:E$1259)</f>
        <v>223900</v>
      </c>
    </row>
    <row r="53" spans="1:5" x14ac:dyDescent="0.2">
      <c r="A53" s="262" t="s">
        <v>386</v>
      </c>
      <c r="B53" s="272">
        <f>SUMIF($A$252:$A$1259,"AIDS COUNCILS",B$252:B$1259)</f>
        <v>250000</v>
      </c>
      <c r="C53" s="273">
        <f>SUMIF($A$252:$A$1259,"AIDS COUNCILS",C$252:C$1259)</f>
        <v>250000</v>
      </c>
      <c r="D53" s="282">
        <f>SUMIF($A$252:$A$1259,"AIDS COUNCILS",D$252:D$1259)</f>
        <v>264500</v>
      </c>
      <c r="E53" s="282">
        <f>SUMIF($A$252:$A$1259,"AIDS COUNCILS",E$252:E$1259)</f>
        <v>279800</v>
      </c>
    </row>
    <row r="54" spans="1:5" x14ac:dyDescent="0.2">
      <c r="A54" s="262" t="s">
        <v>409</v>
      </c>
      <c r="B54" s="272">
        <f>SUMIF($A$252:$A$1259,"ANNUAL REPORT",B$252:B$1259)</f>
        <v>200000</v>
      </c>
      <c r="C54" s="273">
        <f>SUMIF($A$252:$A$1259,"ANNUAL REPORT",C$252:C$1259)</f>
        <v>200000</v>
      </c>
      <c r="D54" s="282">
        <f>SUMIF($A$252:$A$1259,"ANNUAL REPORT",D$252:D$1259)</f>
        <v>211600</v>
      </c>
      <c r="E54" s="282">
        <f>SUMIF($A$252:$A$1259,"ANNUAL REPORT",E$252:E$1259)</f>
        <v>223900</v>
      </c>
    </row>
    <row r="55" spans="1:5" x14ac:dyDescent="0.2">
      <c r="A55" s="262" t="s">
        <v>99</v>
      </c>
      <c r="B55" s="272">
        <f>SUMIF($A$252:$A$1259,"ANALYSING OF SAMPLES",B$252:B$1259)</f>
        <v>80000</v>
      </c>
      <c r="C55" s="273">
        <f>SUMIF($A$252:$A$1259,"ANALYSING OF SAMPLES",C$252:C$1259)</f>
        <v>80000</v>
      </c>
      <c r="D55" s="271">
        <f>SUMIF($A$252:$A$1259,"ANALYSING OF SAMPLES",D$252:D$1259)</f>
        <v>84600</v>
      </c>
      <c r="E55" s="271">
        <f>SUMIF($A$252:$A$1259,"ANALYSING OF SAMPLES",E$252:E$1259)</f>
        <v>89500</v>
      </c>
    </row>
    <row r="56" spans="1:5" x14ac:dyDescent="0.2">
      <c r="A56" s="262" t="s">
        <v>445</v>
      </c>
      <c r="B56" s="272">
        <f>SUMIF($A$252:$A$1259,"ASSISTANCE TO LOCAL MUNICIPALITIES ",B$252:B$1259)</f>
        <v>0</v>
      </c>
      <c r="C56" s="273">
        <f>SUMIF($A$252:$A$1259,"ASSISTANCE TO LOCAL MUNICIPALITIES ",C$252:C$1259)</f>
        <v>0</v>
      </c>
      <c r="D56" s="271">
        <f>SUMIF($A$252:$A$1259,"ASSISTANCE TO LOCAL MUNICIPALITIES ",D$252:D$1259)</f>
        <v>0</v>
      </c>
      <c r="E56" s="271">
        <f>SUMIF($A$252:$A$1259,"ASSISTANCE TO LOCAL MUNICIPALITIES ",E$252:E$1259)</f>
        <v>0</v>
      </c>
    </row>
    <row r="57" spans="1:5" x14ac:dyDescent="0.2">
      <c r="A57" s="262" t="s">
        <v>479</v>
      </c>
      <c r="B57" s="272">
        <f>SUMIF($A$252:$A$1259,"AUDIT AND RISK COMMITTEE",B$252:B$1259)</f>
        <v>500000</v>
      </c>
      <c r="C57" s="273">
        <f>SUMIF($A$252:$A$1259,"AUDIT AND RISK COMMITTEE",C$252:C$1259)</f>
        <v>500000</v>
      </c>
      <c r="D57" s="271">
        <f>SUMIF($A$252:$A$1259,"AUDIT AND RISK COMMITTEE",D$252:D$1259)</f>
        <v>529000</v>
      </c>
      <c r="E57" s="271">
        <f>SUMIF($A$252:$A$1259,"AUDIT AND RISK COMMITTEE",E$252:E$1259)</f>
        <v>559700</v>
      </c>
    </row>
    <row r="58" spans="1:5" x14ac:dyDescent="0.2">
      <c r="A58" s="262" t="s">
        <v>222</v>
      </c>
      <c r="B58" s="272">
        <f>SUMIF($A$252:$A$1259,"BACTERIOLOGICAL TEST",B$252:B$1259)</f>
        <v>0</v>
      </c>
      <c r="C58" s="273">
        <f>SUMIF($A$252:$A$1259,"BACTERIOLOGICAL TEST",C$252:C$1259)</f>
        <v>0</v>
      </c>
      <c r="D58" s="271">
        <f>SUMIF($A$252:$A$1259,"BACTERIOLOGICAL TEST",D$252:D$1259)</f>
        <v>0</v>
      </c>
      <c r="E58" s="271">
        <f>SUMIF($A$252:$A$1259,"BACTERIOLOGICAL TEST",E$252:E$1259)</f>
        <v>0</v>
      </c>
    </row>
    <row r="59" spans="1:5" x14ac:dyDescent="0.2">
      <c r="A59" s="262" t="s">
        <v>138</v>
      </c>
      <c r="B59" s="272">
        <f>SUMIF($A$252:$A$1259,"BANK CHARGES",B$252:B$1259)</f>
        <v>96915</v>
      </c>
      <c r="C59" s="273">
        <f>SUMIF($A$252:$A$1259,"BANK CHARGES",C$252:C$1259)</f>
        <v>96915</v>
      </c>
      <c r="D59" s="271">
        <f>SUMIF($A$252:$A$1259,"BANK CHARGES",D$252:D$1259)</f>
        <v>102500</v>
      </c>
      <c r="E59" s="271">
        <f>SUMIF($A$252:$A$1259,"BANK CHARGES",E$252:E$1259)</f>
        <v>108400</v>
      </c>
    </row>
    <row r="60" spans="1:5" x14ac:dyDescent="0.2">
      <c r="A60" s="262" t="s">
        <v>198</v>
      </c>
      <c r="B60" s="272">
        <f>SUMIF($A$252:$A$1259,"BURSARIES EMPLOYEES",B$252:B$1259)</f>
        <v>600000</v>
      </c>
      <c r="C60" s="273">
        <f>SUMIF($A$252:$A$1259,"BURSARIES EMPLOYEES",C$252:C$1259)</f>
        <v>600000</v>
      </c>
      <c r="D60" s="271">
        <f>SUMIF($A$252:$A$1259,"BURSARIES EMPLOYEES",D$252:D$1259)</f>
        <v>634800</v>
      </c>
      <c r="E60" s="271">
        <f>SUMIF($A$252:$A$1259,"BURSARIES EMPLOYEES",E$252:E$1259)</f>
        <v>671600</v>
      </c>
    </row>
    <row r="61" spans="1:5" x14ac:dyDescent="0.2">
      <c r="A61" s="283" t="s">
        <v>140</v>
      </c>
      <c r="B61" s="272">
        <f>SUMIF($A$252:$A$1259,"CASH COLLECTION SERVICES",B$252:B$1259)</f>
        <v>0</v>
      </c>
      <c r="C61" s="273">
        <f>SUMIF($A$252:$A$1259,"CASH COLLECTION SERVICES",C$252:C$1259)</f>
        <v>0</v>
      </c>
      <c r="D61" s="271">
        <f>SUMIF($A$252:$A$1259,"CASH COLLECTION SERVICES",D$252:D$1259)</f>
        <v>0</v>
      </c>
      <c r="E61" s="271">
        <f>SUMIF($A$252:$A$1259,"CASH COLLECTION SERVICES",E$252:E$1259)</f>
        <v>0</v>
      </c>
    </row>
    <row r="62" spans="1:5" x14ac:dyDescent="0.2">
      <c r="A62" s="262" t="s">
        <v>300</v>
      </c>
      <c r="B62" s="272">
        <f>SUMIF($A$252:$A$1259,"CONFERENCE AND SEMINARS",B$252:B$1259)</f>
        <v>600000</v>
      </c>
      <c r="C62" s="273">
        <f>SUMIF($A$252:$A$1259,"CONFERENCE AND SEMINARS",C$252:C$1259)</f>
        <v>300000</v>
      </c>
      <c r="D62" s="271">
        <f>SUMIF($A$252:$A$1259,"CONFERENCE AND SEMINARS",D$252:D$1259)</f>
        <v>317400</v>
      </c>
      <c r="E62" s="271">
        <f>SUMIF($A$252:$A$1259,"CONFERENCE AND SEMINARS",E$252:E$1259)</f>
        <v>335800</v>
      </c>
    </row>
    <row r="63" spans="1:5" x14ac:dyDescent="0.2">
      <c r="A63" s="262" t="s">
        <v>231</v>
      </c>
      <c r="B63" s="272">
        <f>SUMIF($A$252:$A$1259,"COMMUNITY OUTREACH",B$252:B$1259)</f>
        <v>1500000</v>
      </c>
      <c r="C63" s="273">
        <f>SUMIF($A$252:$A$1259,"COMMUNITY OUTREACH",C$252:C$1259)</f>
        <v>1000000</v>
      </c>
      <c r="D63" s="271">
        <f>SUMIF($A$252:$A$1259,"COMMUNITY OUTREACH",D$252:D$1259)</f>
        <v>1058000</v>
      </c>
      <c r="E63" s="271">
        <f>SUMIF($A$252:$A$1259,"COMMUNITY OUTREACH",E$252:E$1259)</f>
        <v>1119400</v>
      </c>
    </row>
    <row r="64" spans="1:5" x14ac:dyDescent="0.2">
      <c r="A64" s="262" t="s">
        <v>385</v>
      </c>
      <c r="B64" s="272">
        <f>SUMIF($A$252:$A$1259,"COMMUNITY PROFILING THROUGH RESEARCH",B$252:B$1259)</f>
        <v>200000</v>
      </c>
      <c r="C64" s="273">
        <f>SUMIF($A$252:$A$1259,"COMMUNITY PROFILING THROUGH RESEARCH",C$252:C$1259)</f>
        <v>200000</v>
      </c>
      <c r="D64" s="279">
        <f>SUMIF($A$252:$A$1259,"COMMUNITY PROFILING THROUGH RESEARCH",D$252:D$1259)</f>
        <v>211600</v>
      </c>
      <c r="E64" s="279">
        <f>SUMIF($A$252:$A$1259,"COMMUNITY PROFILING THROUGH RESEARCH",E$252:E$1259)</f>
        <v>223900</v>
      </c>
    </row>
    <row r="65" spans="1:5" x14ac:dyDescent="0.2">
      <c r="A65" s="262" t="s">
        <v>139</v>
      </c>
      <c r="B65" s="272">
        <f>SUMIF($A$252:$A$1259,"COMPUTOR MAINTENANCE AND SUPPORT",B$252:B$1259)</f>
        <v>3100000</v>
      </c>
      <c r="C65" s="273">
        <f>SUMIF($A$252:$A$1259,"COMPUTOR MAINTENANCE AND SUPPORT",C$252:C$1259)</f>
        <v>3700000</v>
      </c>
      <c r="D65" s="271">
        <f>SUMIF($A$252:$A$1259,"COMPUTOR MAINTENANCE AND SUPPORT",D$252:D$1259)</f>
        <v>3279800</v>
      </c>
      <c r="E65" s="271">
        <f>SUMIF($A$252:$A$1259,"COMPUTOR MAINTENANCE AND SUPPORT",E$252:E$1259)</f>
        <v>3470000</v>
      </c>
    </row>
    <row r="66" spans="1:5" x14ac:dyDescent="0.2">
      <c r="A66" s="262" t="s">
        <v>101</v>
      </c>
      <c r="B66" s="272">
        <f>SUMIF($A$252:$A$1259,"CONFERENCE &amp; CONGRESS",B$252:B$1259)</f>
        <v>410000</v>
      </c>
      <c r="C66" s="273">
        <f>SUMIF($A$252:$A$1259,"CONFERENCE &amp; CONGRESS",C$252:C$1259)</f>
        <v>410000</v>
      </c>
      <c r="D66" s="271">
        <f>SUMIF($A$252:$A$1259,"CONFERENCE &amp; CONGRESS",D$252:D$1259)</f>
        <v>433800</v>
      </c>
      <c r="E66" s="271">
        <f>SUMIF($A$252:$A$1259,"CONFERENCE &amp; CONGRESS",E$252:E$1259)</f>
        <v>459000</v>
      </c>
    </row>
    <row r="67" spans="1:5" x14ac:dyDescent="0.2">
      <c r="A67" s="283" t="s">
        <v>2</v>
      </c>
      <c r="B67" s="272">
        <f>SUMIF($A$252:$A$1259,"CORPORATE IMAGE, WEBSITE AND INTERNET",B$252:B$1259)</f>
        <v>200000</v>
      </c>
      <c r="C67" s="273">
        <f>SUMIF($A$252:$A$1259,"CORPORATE IMAGE, WEBSITE AND INTERNET",C$252:C$1259)</f>
        <v>200000</v>
      </c>
      <c r="D67" s="272">
        <f>SUMIF($A$252:$A$1259,"CORPORATE IMAGE, WEBSITE AND INTERNET",D$252:D$1259)</f>
        <v>211600</v>
      </c>
      <c r="E67" s="272">
        <f>SUMIF($A$252:$A$1259,"CORPORATE IMAGE, WEBSITE AND INTERNET",E$252:E$1259)</f>
        <v>223900</v>
      </c>
    </row>
    <row r="68" spans="1:5" x14ac:dyDescent="0.2">
      <c r="A68" s="283" t="s">
        <v>383</v>
      </c>
      <c r="B68" s="272">
        <f>SUMIF($A$252:$A$1259,"CORPORATE GIS SHARED SERVICES",B$252:B$1259)</f>
        <v>1100000</v>
      </c>
      <c r="C68" s="273">
        <f>SUMIF($A$252:$A$1259,"CORPORATE GIS SHARED SERVICES",C$252:C$1259)</f>
        <v>1210000</v>
      </c>
      <c r="D68" s="279">
        <f>SUMIF($A$252:$A$1259,"CORPORATE GIS SHARED SERVICES",D$252:D$1259)</f>
        <v>1280200</v>
      </c>
      <c r="E68" s="279">
        <f>SUMIF($A$252:$A$1259,"CORPORATE GIS SHARED SERVICES",E$252:E$1259)</f>
        <v>1354500</v>
      </c>
    </row>
    <row r="69" spans="1:5" x14ac:dyDescent="0.2">
      <c r="A69" s="262" t="s">
        <v>230</v>
      </c>
      <c r="B69" s="272">
        <f>SUMIF($A$252:$A$1259,"=DISASTER MANAGEMENT OPERATIONAL COSTS",B$252:B$1259)</f>
        <v>1800000</v>
      </c>
      <c r="C69" s="273">
        <f>SUMIF($A$252:$A$1259,"=DISASTER MANAGEMENT OPERATIONAL COSTS",C$252:C$1259)</f>
        <v>1800000</v>
      </c>
      <c r="D69" s="271">
        <f>SUMIF($A$252:$A$1259,"=DISASTER MANAGEMENT OPERATIONAL COSTS",D$252:D$1259)</f>
        <v>1904400</v>
      </c>
      <c r="E69" s="271">
        <f>SUMIF($A$252:$A$1259,"=DISASTER MANAGEMENT OPERATIONAL COSTS",E$252:E$1259)</f>
        <v>2014900</v>
      </c>
    </row>
    <row r="70" spans="1:5" x14ac:dyDescent="0.2">
      <c r="A70" s="262" t="s">
        <v>377</v>
      </c>
      <c r="B70" s="272">
        <f>SUMIF($A$252:$A$1259,"=DISASTER MANAGEMENT EMERGENCY RELIEF",B$252:B$1259)</f>
        <v>1500000</v>
      </c>
      <c r="C70" s="273">
        <f>SUMIF($A$252:$A$1259,"=DISASTER MANAGEMENT EMERGENCY RELIEF",C$252:C$1259)</f>
        <v>1000000</v>
      </c>
      <c r="D70" s="279">
        <f>SUMIF($A$252:$A$1259,"=DISASTER MANAGEMENT EMERGENCY RELIEF",D$252:D$1259)</f>
        <v>1058000</v>
      </c>
      <c r="E70" s="279">
        <f>SUMIF($A$252:$A$1259,"=DISASTER MANAGEMENT EMERGENCY RELIEF",E$252:E$1259)</f>
        <v>1119400</v>
      </c>
    </row>
    <row r="71" spans="1:5" x14ac:dyDescent="0.2">
      <c r="A71" s="262" t="s">
        <v>373</v>
      </c>
      <c r="B71" s="279">
        <f>SUMIF($A$252:$A$1259,"=DEVELOPMENT OF IT STRATEGIC PLAN",B$252:B$1259)</f>
        <v>0</v>
      </c>
      <c r="C71" s="273">
        <f>SUMIF($A$252:$A$1259,"=DEVELOPMENT OF IT STRATEGIC PLAN",C$252:C$1259)</f>
        <v>0</v>
      </c>
      <c r="D71" s="279">
        <f>SUMIF($A$252:$A$1259,"=DEVELOPMENT OF IT STRATEGIC PLAN",D$252:D$1259)</f>
        <v>0</v>
      </c>
      <c r="E71" s="279">
        <f>SUMIF($A$252:$A$1259,"=DEVELOPMENT OF IT STRATEGIC PLAN",E$252:E$1259)</f>
        <v>0</v>
      </c>
    </row>
    <row r="72" spans="1:5" x14ac:dyDescent="0.2">
      <c r="A72" s="262" t="s">
        <v>528</v>
      </c>
      <c r="B72" s="272">
        <f>SUMIF($A$252:$A$1259,"=ECONOMIC SUMMIT",B$252:B$1259)</f>
        <v>800000</v>
      </c>
      <c r="C72" s="273">
        <f>SUMIF($A$252:$A$1259,"=ECONOMIC SUMMIT",C$252:C$1259)</f>
        <v>0</v>
      </c>
      <c r="D72" s="279">
        <f>SUMIF($A$252:$A$1259,"=ECONOMIC SUMMIT",D$252:D$1259)</f>
        <v>0</v>
      </c>
      <c r="E72" s="279">
        <f>SUMIF($A$252:$A$1259,"=ECONOMIC SUMMIT",E$252:E$1259)</f>
        <v>0</v>
      </c>
    </row>
    <row r="73" spans="1:5" x14ac:dyDescent="0.2">
      <c r="A73" s="262" t="s">
        <v>519</v>
      </c>
      <c r="B73" s="272">
        <f>SUMIF($A$252:$A$1259,"=ELECTRICITY,WATER &amp; RATES",B$252:B$1259)</f>
        <v>5328755</v>
      </c>
      <c r="C73" s="273">
        <f>SUMIF($A$252:$A$1259,"=ELECTRICITY,WATER &amp; RATES",C$252:C$1259)</f>
        <v>5500000</v>
      </c>
      <c r="D73" s="271">
        <f>SUMIF($A$252:$A$1259,"=ELECTRICITY,WATER &amp; RATES",D$252:D$1259)</f>
        <v>5819000</v>
      </c>
      <c r="E73" s="271">
        <f>SUMIF($A$252:$A$1259,"=ELECTRICITY,WATER &amp; RATES",E$252:E$1259)</f>
        <v>6156500</v>
      </c>
    </row>
    <row r="74" spans="1:5" x14ac:dyDescent="0.2">
      <c r="A74" s="262" t="s">
        <v>378</v>
      </c>
      <c r="B74" s="272">
        <f>SUMIF($A$252:$A$1259,"=EDM CENTRAL IMPROVEMENT DISTRICT",B$252:B$1259)</f>
        <v>1600000</v>
      </c>
      <c r="C74" s="273">
        <f>SUMIF($A$252:$A$1259,"=EDM CENTRAL IMPROVEMENT DISTRICT",C$252:C$1259)</f>
        <v>1720000</v>
      </c>
      <c r="D74" s="279">
        <f>SUMIF($A$252:$A$1259,"=EDM CENTRAL IMPROVEMENT DISTRICT",D$252:D$1259)</f>
        <v>1819800</v>
      </c>
      <c r="E74" s="279">
        <f>SUMIF($A$252:$A$1259,"=EDM CENTRAL IMPROVEMENT DISTRICT",E$252:E$1259)</f>
        <v>1925300</v>
      </c>
    </row>
    <row r="75" spans="1:5" x14ac:dyDescent="0.2">
      <c r="A75" s="262" t="s">
        <v>270</v>
      </c>
      <c r="B75" s="272">
        <f>SUMIF($A$252:$A$1259,"EMPLOYEE ASSISTANCE PROGRAMME",B$252:B$1259)</f>
        <v>50000</v>
      </c>
      <c r="C75" s="273">
        <f>SUMIF($A$252:$A$1259,"EMPLOYEE ASSISTANCE PROGRAMME",C$252:C$1259)</f>
        <v>50000</v>
      </c>
      <c r="D75" s="271">
        <f>SUMIF($A$252:$A$1259,"EMPLOYEE ASSISTANCE PROGRAMME",D$252:D$1259)</f>
        <v>52900</v>
      </c>
      <c r="E75" s="271">
        <f>SUMIF($A$252:$A$1259,"EMPLOYEE ASSISTANCE PROGRAMME",E$252:E$1259)</f>
        <v>56000</v>
      </c>
    </row>
    <row r="76" spans="1:5" x14ac:dyDescent="0.2">
      <c r="A76" s="262" t="s">
        <v>258</v>
      </c>
      <c r="B76" s="272">
        <f>SUMIF($A$252:$A$1259,"DISTRICT DISASTER MANAGEMENT ADVISORY FORUM",B$252:B$1259)</f>
        <v>0</v>
      </c>
      <c r="C76" s="273">
        <f>SUMIF($A$252:$A$1259,"DISTRICT DISASTER MANAGEMENT ADVISORY FORUM",C$252:C$1259)</f>
        <v>0</v>
      </c>
      <c r="D76" s="271">
        <f>SUMIF($A$252:$A$1259,"DISTRICT DISASTER MANAGEMENT ADVISORY FORUM",D$252:D$1259)</f>
        <v>0</v>
      </c>
      <c r="E76" s="271">
        <f>SUMIF($A$252:$A$1259,"DISTRICT DISASTER MANAGEMENT ADVISORY FORUM",E$252:E$1259)</f>
        <v>0</v>
      </c>
    </row>
    <row r="77" spans="1:5" x14ac:dyDescent="0.2">
      <c r="A77" s="262" t="s">
        <v>147</v>
      </c>
      <c r="B77" s="272">
        <f>SUMIF($A$252:$A$1259,"ENGINEERING MEMBERSHIP FEES",B$252:B$1259)</f>
        <v>8655</v>
      </c>
      <c r="C77" s="273">
        <f>SUMIF($A$252:$A$1259,"ENGINEERING MEMBERSHIP FEES",C$252:C$1259)</f>
        <v>8655</v>
      </c>
      <c r="D77" s="271">
        <f>SUMIF($A$252:$A$1259,"ENGINEERING MEMBERSHIP FEES",D$252:D$1259)</f>
        <v>9200</v>
      </c>
      <c r="E77" s="271">
        <f>SUMIF($A$252:$A$1259,"ENGINEERING MEMBERSHIP FEES",E$252:E$1259)</f>
        <v>9700</v>
      </c>
    </row>
    <row r="78" spans="1:5" x14ac:dyDescent="0.2">
      <c r="A78" s="262" t="s">
        <v>141</v>
      </c>
      <c r="B78" s="272">
        <f>SUMIF($A$252:$A$1259,"ENTERTAINMENT",B$252:B$1259)</f>
        <v>680253</v>
      </c>
      <c r="C78" s="273">
        <f>SUMIF($A$252:$A$1259,"ENTERTAINMENT",C$252:C$1259)</f>
        <v>680253</v>
      </c>
      <c r="D78" s="271">
        <f>SUMIF($A$252:$A$1259,"ENTERTAINMENT",D$252:D$1259)</f>
        <v>719800</v>
      </c>
      <c r="E78" s="271">
        <f>SUMIF($A$252:$A$1259,"ENTERTAINMENT",E$252:E$1259)</f>
        <v>761600</v>
      </c>
    </row>
    <row r="79" spans="1:5" x14ac:dyDescent="0.2">
      <c r="A79" s="262" t="s">
        <v>374</v>
      </c>
      <c r="B79" s="272">
        <f>SUMIF($A$252:$A$1259,"FACILITY MANAGEMENT SERVICES-MATERIALS",B$252:B$1259)</f>
        <v>0</v>
      </c>
      <c r="C79" s="273">
        <f>SUMIF($A$252:$A$1259,"FACILITY MANAGEMENT SERVICES-MATERIALS",C$252:C$1259)</f>
        <v>0</v>
      </c>
      <c r="D79" s="279">
        <f>SUMIF($A$252:$A$1259,"FACILITY MANAGEMENT SERVICES-MATERIALS",D$252:D$1259)</f>
        <v>0</v>
      </c>
      <c r="E79" s="279">
        <f>SUMIF($A$252:$A$1259,"FACILITY MANAGEMENT SERVICES-MATERIALS",E$252:E$1259)</f>
        <v>0</v>
      </c>
    </row>
    <row r="80" spans="1:5" x14ac:dyDescent="0.2">
      <c r="A80" s="283" t="s">
        <v>169</v>
      </c>
      <c r="B80" s="272">
        <f>SUMIF($A$252:$A$1259,"EQUIPMENT RENTAL AND SERVICES",B$252:B$1259)</f>
        <v>400000</v>
      </c>
      <c r="C80" s="273">
        <f>SUMIF($A$252:$A$1259,"EQUIPMENT RENTAL AND SERVICES",C$252:C$1259)</f>
        <v>7400000</v>
      </c>
      <c r="D80" s="271">
        <f>SUMIF($A$252:$A$1259,"EQUIPMENT RENTAL AND SERVICES",D$252:D$1259)</f>
        <v>423200</v>
      </c>
      <c r="E80" s="271">
        <f>SUMIF($A$252:$A$1259,"EQUIPMENT RENTAL AND SERVICES",E$252:E$1259)</f>
        <v>447700</v>
      </c>
    </row>
    <row r="81" spans="1:5" x14ac:dyDescent="0.2">
      <c r="A81" s="283" t="s">
        <v>380</v>
      </c>
      <c r="B81" s="272">
        <f>SUMIF($A$252:$A$1259,"EDM CLEAN UP CAMPAIGN IN ALL LM'S",B$252:B$1259)</f>
        <v>1200000</v>
      </c>
      <c r="C81" s="273">
        <f>SUMIF($A$252:$A$1259,"EDM CLEAN UP CAMPAIGN IN ALL LM'S",C$252:C$1259)</f>
        <v>1200000</v>
      </c>
      <c r="D81" s="279">
        <f>SUMIF($A$252:$A$1259,"EDM CLEAN UP CAMPAIGN IN ALL LM'S",D$252:D$1259)</f>
        <v>1269600</v>
      </c>
      <c r="E81" s="279">
        <f>SUMIF($A$252:$A$1259,"EDM CLEAN UP CAMPAIGN IN ALL LM'S",E$252:E$1259)</f>
        <v>1343200</v>
      </c>
    </row>
    <row r="82" spans="1:5" x14ac:dyDescent="0.2">
      <c r="A82" s="262" t="s">
        <v>142</v>
      </c>
      <c r="B82" s="272">
        <f>SUMIF($A$252:$A$1259,"FIRST AID STOCK",B$252:B$1259)</f>
        <v>6182</v>
      </c>
      <c r="C82" s="273">
        <f>SUMIF($A$252:$A$1259,"FIRST AID STOCK",C$252:C$1259)</f>
        <v>6182</v>
      </c>
      <c r="D82" s="271">
        <f>SUMIF($A$252:$A$1259,"FIRST AID STOCK",D$252:D$1259)</f>
        <v>6500</v>
      </c>
      <c r="E82" s="271">
        <f>SUMIF($A$252:$A$1259,"FIRST AID STOCK",E$252:E$1259)</f>
        <v>6900</v>
      </c>
    </row>
    <row r="83" spans="1:5" x14ac:dyDescent="0.2">
      <c r="A83" s="262" t="s">
        <v>143</v>
      </c>
      <c r="B83" s="272">
        <f>SUMIF($A$252:$A$1259,"FUEL AND LUBRICANTS",B$252:B$1259)</f>
        <v>700000</v>
      </c>
      <c r="C83" s="273">
        <f>SUMIF($A$252:$A$1259,"FUEL AND LUBRICANTS",C$252:C$1259)</f>
        <v>700000</v>
      </c>
      <c r="D83" s="271">
        <f>SUMIF($A$252:$A$1259,"FUEL AND LUBRICANTS",D$252:D$1259)</f>
        <v>740600</v>
      </c>
      <c r="E83" s="271">
        <f>SUMIF($A$252:$A$1259,"FUEL AND LUBRICANTS",E$252:E$1259)</f>
        <v>783600</v>
      </c>
    </row>
    <row r="84" spans="1:5" x14ac:dyDescent="0.2">
      <c r="A84" s="262" t="s">
        <v>6</v>
      </c>
      <c r="B84" s="272">
        <f>SUMIF($A$252:$A$1259,"GRAP TECHNICAL SUPPORT ",B$252:B$1259)</f>
        <v>0</v>
      </c>
      <c r="C84" s="273">
        <f>SUMIF($A$252:$A$1259,"GRAP TECHNICAL SUPPORT ",C$252:C$1259)</f>
        <v>4000000</v>
      </c>
      <c r="D84" s="271">
        <f>SUMIF($A$252:$A$1259,"GRAP TECHNICAL SUPPORT ",D$252:D$1259)</f>
        <v>4232000</v>
      </c>
      <c r="E84" s="271">
        <f>SUMIF($A$252:$A$1259,"GRAP TECHNICAL SUPPORT ",E$252:E$1259)</f>
        <v>4477500</v>
      </c>
    </row>
    <row r="85" spans="1:5" x14ac:dyDescent="0.2">
      <c r="A85" s="262" t="s">
        <v>106</v>
      </c>
      <c r="B85" s="272">
        <f>SUMIF($A$252:$A$1259,"=GIS OPERATIONAL COSTS",B$252:B$1259)</f>
        <v>150000</v>
      </c>
      <c r="C85" s="273">
        <f>SUMIF($A$252:$A$1259,"=GIS OPERATIONAL COSTS",C$252:C$1259)</f>
        <v>150000</v>
      </c>
      <c r="D85" s="271">
        <f>SUMIF($A$252:$A$1259,"=GIS OPERATIONAL COSTS",D$252:D$1259)</f>
        <v>158700</v>
      </c>
      <c r="E85" s="271">
        <f>SUMIF($A$252:$A$1259,"=GIS OPERATIONAL COSTS",E$252:E$1259)</f>
        <v>167900</v>
      </c>
    </row>
    <row r="86" spans="1:5" x14ac:dyDescent="0.2">
      <c r="A86" s="262" t="s">
        <v>382</v>
      </c>
      <c r="B86" s="272">
        <f>SUMIF($A$252:$A$1259,"=GIS SUPPORT TO LM'S",B$252:B$1259)</f>
        <v>300000</v>
      </c>
      <c r="C86" s="273">
        <f>SUMIF($A$252:$A$1259,"=GIS SUPPORT TO LM'S",C$252:C$1259)</f>
        <v>300000</v>
      </c>
      <c r="D86" s="279">
        <f>SUMIF($A$252:$A$1259,"=GIS SUPPORT TO LM'S",D$252:D$1259)</f>
        <v>317400</v>
      </c>
      <c r="E86" s="279">
        <f>SUMIF($A$252:$A$1259,"=GIS SUPPORT TO LM'S",E$252:E$1259)</f>
        <v>335800</v>
      </c>
    </row>
    <row r="87" spans="1:5" x14ac:dyDescent="0.2">
      <c r="A87" s="262" t="s">
        <v>145</v>
      </c>
      <c r="B87" s="272">
        <f>SUMIF($A$252:$A$1259,"=HANDY MAN SERVICES",B$252:B$1259)</f>
        <v>0</v>
      </c>
      <c r="C87" s="273">
        <f>SUMIF($A$252:$A$1259,"=HANDY MAN SERVICES",C$252:C$1259)</f>
        <v>0</v>
      </c>
      <c r="D87" s="279">
        <f>SUMIF($A$252:$A$1259,"=HANDY MAN SERVICES",D$252:D$1259)</f>
        <v>0</v>
      </c>
      <c r="E87" s="279">
        <f>SUMIF($A$252:$A$1259,"=HANDY MAN SERVICES",E$252:E$1259)</f>
        <v>0</v>
      </c>
    </row>
    <row r="88" spans="1:5" x14ac:dyDescent="0.2">
      <c r="A88" s="262" t="s">
        <v>281</v>
      </c>
      <c r="B88" s="272">
        <f>SUMIF($A$252:$A$1259,"HIV/AIDS MOBILISATION PROGRAMS",B$252:B$1259)</f>
        <v>750000</v>
      </c>
      <c r="C88" s="273">
        <f>SUMIF($A$252:$A$1259,"HIV/AIDS MOBILISATION PROGRAMS",C$252:C$1259)</f>
        <v>750000</v>
      </c>
      <c r="D88" s="271">
        <f>SUMIF($A$252:$A$1259,"HIV/AIDS MOBILISATION PROGRAMS",D$252:D$1259)</f>
        <v>793500</v>
      </c>
      <c r="E88" s="271">
        <f>SUMIF($A$252:$A$1259,"HIV/AIDS MOBILISATION PROGRAMS",E$252:E$1259)</f>
        <v>839500</v>
      </c>
    </row>
    <row r="89" spans="1:5" x14ac:dyDescent="0.2">
      <c r="A89" s="262" t="s">
        <v>257</v>
      </c>
      <c r="B89" s="272">
        <f>SUMIF($A$252:$A$1259,"IDP REVIEW",B$252:B$1259)</f>
        <v>300000</v>
      </c>
      <c r="C89" s="273">
        <f>SUMIF($A$252:$A$1259,"IDP REVIEW",C$252:C$1259)</f>
        <v>300000</v>
      </c>
      <c r="D89" s="271">
        <f>SUMIF($A$252:$A$1259,"IDP REVIEW",D$252:D$1259)</f>
        <v>317400</v>
      </c>
      <c r="E89" s="271">
        <f>SUMIF($A$252:$A$1259,"IDP REVIEW",E$252:E$1259)</f>
        <v>335800</v>
      </c>
    </row>
    <row r="90" spans="1:5" x14ac:dyDescent="0.2">
      <c r="A90" s="248" t="s">
        <v>273</v>
      </c>
      <c r="B90" s="272">
        <f>SUMIF($A$252:$A$1259,"INCIDENT COMMAND VEHICLE EQUIPMENT MAINTANANCE",B$252:B$1259)</f>
        <v>0</v>
      </c>
      <c r="C90" s="273">
        <f>SUMIF($A$252:$A$1259,"INCIDENT COMMAND VEHICLE EQUIPMENT MAINTANANCE",C$252:C$1259)</f>
        <v>0</v>
      </c>
      <c r="D90" s="271">
        <f>SUMIF($A$252:$A$1259,"INCIDENT COMMAND VEHICLE EQUIPMENT MAINTANANCE",D$252:D$1259)</f>
        <v>0</v>
      </c>
      <c r="E90" s="271">
        <f>SUMIF($A$252:$A$1259,"INCIDENT COMMAND VEHICLE EQUIPMENT MAINTANANCE",E$252:E$1259)</f>
        <v>0</v>
      </c>
    </row>
    <row r="91" spans="1:5" x14ac:dyDescent="0.2">
      <c r="A91" s="262" t="s">
        <v>284</v>
      </c>
      <c r="B91" s="272">
        <f>SUMIF($A$252:$A$1259,"INTERFACE WITH TRADITIONAL LEADERS",B$252:B$1259)</f>
        <v>0</v>
      </c>
      <c r="C91" s="273">
        <f>SUMIF($A$252:$A$1259,"INTERFACE WITH TRADITIONAL LEADERS",C$252:C$1259)</f>
        <v>0</v>
      </c>
      <c r="D91" s="271">
        <f>SUMIF($A$252:$A$1259,"INTERFACE WITH TRADITIONAL LEADERS",D$252:D$1259)</f>
        <v>0</v>
      </c>
      <c r="E91" s="271">
        <f>SUMIF($A$252:$A$1259,"INTERFACE WITH TRADITIONAL LEADERS",E$252:E$1259)</f>
        <v>0</v>
      </c>
    </row>
    <row r="92" spans="1:5" x14ac:dyDescent="0.2">
      <c r="A92" s="262" t="s">
        <v>144</v>
      </c>
      <c r="B92" s="272">
        <f>SUMIF($A$252:$A$1259,"INSURANCE",B$252:B$1259)</f>
        <v>600000</v>
      </c>
      <c r="C92" s="273">
        <f>SUMIF($A$252:$A$1259,"INSURANCE",C$252:C$1259)</f>
        <v>620000</v>
      </c>
      <c r="D92" s="271">
        <f>SUMIF($A$252:$A$1259,"INSURANCE",D$252:D$1259)</f>
        <v>656000</v>
      </c>
      <c r="E92" s="271">
        <f>SUMIF($A$252:$A$1259,"INSURANCE",E$252:E$1259)</f>
        <v>694000</v>
      </c>
    </row>
    <row r="93" spans="1:5" x14ac:dyDescent="0.2">
      <c r="A93" s="283" t="s">
        <v>266</v>
      </c>
      <c r="B93" s="272">
        <f>SUMIF($A$252:$A$1259,"INTEREST ON EXTERNAL LOAN DBSA",B$252:B$1259)</f>
        <v>21395905</v>
      </c>
      <c r="C93" s="273">
        <f>SUMIF($A$252:$A$1259,"INTEREST ON EXTERNAL LOAN DBSA",C$252:C$1259)</f>
        <v>21395905</v>
      </c>
      <c r="D93" s="271">
        <f>SUMIF($A$252:$A$1259,"INTEREST ON EXTERNAL LOAN DBSA",D$252:D$1259)</f>
        <v>21495905</v>
      </c>
      <c r="E93" s="271">
        <f>SUMIF($A$252:$A$1259,"INTEREST ON EXTERNAL LOAN DBSA",E$252:E$1259)</f>
        <v>21495905</v>
      </c>
    </row>
    <row r="94" spans="1:5" x14ac:dyDescent="0.2">
      <c r="A94" s="283" t="s">
        <v>423</v>
      </c>
      <c r="B94" s="284">
        <f>SUMIF($A$252:$A$1259,"INTEREST OTHER",B$252:B$1259)</f>
        <v>0</v>
      </c>
      <c r="C94" s="273">
        <f>SUMIF($A$252:$A$1259,"INTEREST OTHER",C$252:C$1259)</f>
        <v>0</v>
      </c>
      <c r="D94" s="271">
        <f>SUMIF($A$252:$A$1259,"INTEREST OTHER",D$252:D$1259)</f>
        <v>0</v>
      </c>
      <c r="E94" s="271">
        <f>SUMIF($A$252:$A$1259,"INTEREST OTHER",E$252:E$1259)</f>
        <v>0</v>
      </c>
    </row>
    <row r="95" spans="1:5" x14ac:dyDescent="0.2">
      <c r="A95" s="262" t="s">
        <v>472</v>
      </c>
      <c r="B95" s="285">
        <f>SUMIF($A$252:$A$1259,"MAKHONJWA HERITAGE SITE",B$252:B$1259)</f>
        <v>200000</v>
      </c>
      <c r="C95" s="273">
        <f>SUMIF($A$252:$A$1259,"MAKHONJWA HERITAGE SITE",C$252:C$1259)</f>
        <v>0</v>
      </c>
      <c r="D95" s="279">
        <f>SUMIF($A$252:$A$1259,"MAKHONJWA HERITAGE SITE",D$252:D$1259)</f>
        <v>0</v>
      </c>
      <c r="E95" s="279">
        <f>SUMIF($A$252:$A$1259,"MAKHONJWA HERITAGE SITE",E$252:E$1259)</f>
        <v>0</v>
      </c>
    </row>
    <row r="96" spans="1:5" x14ac:dyDescent="0.2">
      <c r="A96" s="262" t="s">
        <v>269</v>
      </c>
      <c r="B96" s="284">
        <f>SUMIF($A$252:$A$1259,"LONG TERM DEVELOPMENT STRATEGY",B$252:B$1259)</f>
        <v>0</v>
      </c>
      <c r="C96" s="273">
        <f>SUMIF($A$252:$A$1259,"LONG TERM DEVELOPMENT STRATEGY",C$252:C$1259)</f>
        <v>0</v>
      </c>
      <c r="D96" s="271">
        <f>SUMIF($A$252:$A$1259,"LONG TERM DEVELOPMENT STRATEGY",D$252:D$1259)</f>
        <v>0</v>
      </c>
      <c r="E96" s="271">
        <f>SUMIF($A$252:$A$1259,"LONG TERM DEVELOPMENT STRATEGY",E$252:E$1259)</f>
        <v>0</v>
      </c>
    </row>
    <row r="97" spans="1:5" x14ac:dyDescent="0.2">
      <c r="A97" s="262" t="s">
        <v>376</v>
      </c>
      <c r="B97" s="272">
        <f>SUMIF($A$252:$A$1259,"LEARNERSHIP PROGRAMMES &amp; INTERNSHIP",B$252:B$1259)</f>
        <v>0</v>
      </c>
      <c r="C97" s="273">
        <f>SUMIF($A$252:$A$1259,"LEARNERSHIP PROGRAMMES &amp; INTERNSHIP",C$252:C$1259)</f>
        <v>0</v>
      </c>
      <c r="D97" s="279">
        <f>SUMIF($A$252:$A$1259,"LEARNERSHIP PROGRAMMES &amp; INTERNSHIP",D$252:D$1259)</f>
        <v>0</v>
      </c>
      <c r="E97" s="279">
        <f>SUMIF($A$252:$A$1259,"LEARNERSHIP PROGRAMMES &amp; INTERNSHIP",E$252:E$1259)</f>
        <v>0</v>
      </c>
    </row>
    <row r="98" spans="1:5" x14ac:dyDescent="0.2">
      <c r="A98" s="262" t="s">
        <v>381</v>
      </c>
      <c r="B98" s="272">
        <f>SUMIF($A$252:$A$1259,"LED OUTREACH PROGRAM BUSINESS DAYS FOR COMMUNITIES",B$252:B$1259)</f>
        <v>82821</v>
      </c>
      <c r="C98" s="273">
        <f>SUMIF($A$252:$A$1259,"LED OUTREACH PROGRAM BUSINESS DAYS FOR COMMUNITIES",C$252:C$1259)</f>
        <v>82821</v>
      </c>
      <c r="D98" s="279">
        <f>SUMIF($A$252:$A$1259,"LED OUTREACH PROGRAM BUSINESS DAYS FOR COMMUNITIES",D$252:D$1259)</f>
        <v>87600</v>
      </c>
      <c r="E98" s="279">
        <f>SUMIF($A$252:$A$1259,"LED OUTREACH PROGRAM BUSINESS DAYS FOR COMMUNITIES",E$252:E$1259)</f>
        <v>92700</v>
      </c>
    </row>
    <row r="99" spans="1:5" x14ac:dyDescent="0.2">
      <c r="A99" s="283" t="s">
        <v>146</v>
      </c>
      <c r="B99" s="272">
        <f>SUMIF($A$252:$A$1259,"LEGAL COST",B$252:B$1259)</f>
        <v>600000</v>
      </c>
      <c r="C99" s="273">
        <f>SUMIF($A$252:$A$1259,"LEGAL COST",C$252:C$1259)</f>
        <v>600000</v>
      </c>
      <c r="D99" s="271">
        <f>SUMIF($A$252:$A$1259,"LEGAL COST",D$252:D$1259)</f>
        <v>634800</v>
      </c>
      <c r="E99" s="271">
        <f>SUMIF($A$252:$A$1259,"LEGAL COST",E$252:E$1259)</f>
        <v>671600</v>
      </c>
    </row>
    <row r="100" spans="1:5" x14ac:dyDescent="0.2">
      <c r="A100" s="262" t="s">
        <v>114</v>
      </c>
      <c r="B100" s="272">
        <f>SUMIF($A$252:$A$1259,"MAM - SAFETY &amp; SECURITY",B$252:B$1259)</f>
        <v>0</v>
      </c>
      <c r="C100" s="273">
        <f>SUMIF($A$252:$A$1259,"MAM - SAFETY &amp; SECURITY",C$252:C$1259)</f>
        <v>0</v>
      </c>
      <c r="D100" s="271">
        <f>SUMIF($A$252:$A$1259,"MAM - SAFETY &amp; SECURITY",D$252:D$1259)</f>
        <v>0</v>
      </c>
      <c r="E100" s="271">
        <f>SUMIF($A$252:$A$1259,"MAM - SAFETY &amp; SECURITY",E$252:E$1259)</f>
        <v>0</v>
      </c>
    </row>
    <row r="101" spans="1:5" x14ac:dyDescent="0.2">
      <c r="A101" s="262" t="s">
        <v>113</v>
      </c>
      <c r="B101" s="272">
        <f>SUMIF($A$252:$A$1259,"MARKETING &amp; PUBLICITY",B$252:B$1259)</f>
        <v>760000</v>
      </c>
      <c r="C101" s="273">
        <f>SUMIF($A$252:$A$1259,"MARKETING &amp; PUBLICITY",C$252:C$1259)</f>
        <v>760000</v>
      </c>
      <c r="D101" s="271">
        <f>SUMIF($A$252:$A$1259,"MARKETING &amp; PUBLICITY",D$252:D$1259)</f>
        <v>804100</v>
      </c>
      <c r="E101" s="271">
        <f>SUMIF($A$252:$A$1259,"MARKETING &amp; PUBLICITY",E$252:E$1259)</f>
        <v>850700</v>
      </c>
    </row>
    <row r="102" spans="1:5" x14ac:dyDescent="0.2">
      <c r="A102" s="262" t="s">
        <v>158</v>
      </c>
      <c r="B102" s="272">
        <f>SUMIF($A$252:$A$1259,"MATERIAL AND STOCK",B$252:B$1259)</f>
        <v>565279</v>
      </c>
      <c r="C102" s="273">
        <f>SUMIF($A$252:$A$1259,"MATERIAL AND STOCK",C$252:C$1259)</f>
        <v>565279</v>
      </c>
      <c r="D102" s="271">
        <f>SUMIF($A$252:$A$1259,"MATERIAL AND STOCK",D$252:D$1259)</f>
        <v>598000</v>
      </c>
      <c r="E102" s="271">
        <f>SUMIF($A$252:$A$1259,"MATERIAL AND STOCK",E$252:E$1259)</f>
        <v>632700</v>
      </c>
    </row>
    <row r="103" spans="1:5" x14ac:dyDescent="0.2">
      <c r="A103" s="262" t="s">
        <v>261</v>
      </c>
      <c r="B103" s="272">
        <f>SUMIF($A$252:$A$1259,"MAYOR'S BURSARIES",B$252:B$1259)</f>
        <v>0</v>
      </c>
      <c r="C103" s="273">
        <f>SUMIF($A$252:$A$1259,"MAYOR'S BURSARIES",C$252:C$1259)</f>
        <v>0</v>
      </c>
      <c r="D103" s="282">
        <f>SUMIF($A$252:$A$1259,"MAYOR'S BURSARIES",D$252:D$1259)</f>
        <v>0</v>
      </c>
      <c r="E103" s="282">
        <f>SUMIF($A$252:$A$1259,"MAYOR'S BURSARIES",E$252:E$1259)</f>
        <v>0</v>
      </c>
    </row>
    <row r="104" spans="1:5" x14ac:dyDescent="0.2">
      <c r="A104" s="262" t="s">
        <v>218</v>
      </c>
      <c r="B104" s="272">
        <f>SUMIF($A$252:$A$1259,"MEMBERSHIP FEES SALGA",B$252:B$1259)</f>
        <v>0</v>
      </c>
      <c r="C104" s="273">
        <f>SUMIF($A$252:$A$1259,"MEMBERSHIP FEES SALGA",C$252:C$1259)</f>
        <v>0</v>
      </c>
      <c r="D104" s="271">
        <f>SUMIF($A$252:$A$1259,"MEMBERSHIP FEES SALGA",D$252:D$1259)</f>
        <v>0</v>
      </c>
      <c r="E104" s="271">
        <f>SUMIF($A$252:$A$1259,"MEMBERSHIP FEES SALGA",E$252:E$1259)</f>
        <v>0</v>
      </c>
    </row>
    <row r="105" spans="1:5" x14ac:dyDescent="0.2">
      <c r="A105" s="262" t="s">
        <v>426</v>
      </c>
      <c r="B105" s="279">
        <f>SUMIF($A$252:$A$1259,"MPAC OPERATIONAL COSTS",B$252:B$1259)</f>
        <v>0</v>
      </c>
      <c r="C105" s="273">
        <f>SUMIF($A$252:$A$1259,"MPAC OPERATIONAL COSTS",C$252:C$1259)</f>
        <v>250000</v>
      </c>
      <c r="D105" s="271">
        <f>SUMIF($A$252:$A$1259,"MPAC OPERATIONAL COSTS",D$252:D$1259)</f>
        <v>264500</v>
      </c>
      <c r="E105" s="271">
        <f>SUMIF($A$252:$A$1259,"MPAC OPERATIONAL COSTS",E$252:E$1259)</f>
        <v>279800</v>
      </c>
    </row>
    <row r="106" spans="1:5" x14ac:dyDescent="0.2">
      <c r="A106" s="262" t="s">
        <v>410</v>
      </c>
      <c r="B106" s="272">
        <f>SUMIF($A$252:$A$1259,"MINIMUM COMPETENCY",B$252:B$1259)</f>
        <v>0</v>
      </c>
      <c r="C106" s="273">
        <f>SUMIF($A$252:$A$1259,"MINIMUM COMPETENCY",C$252:C$1259)</f>
        <v>0</v>
      </c>
      <c r="D106" s="282">
        <f>SUMIF($A$252:$A$1259,"MINIMUM COMPETENCY",D$252:D$1259)</f>
        <v>0</v>
      </c>
      <c r="E106" s="282">
        <f>SUMIF($A$252:$A$1259,"MINIMUM COMPETENCY",E$252:E$1259)</f>
        <v>0</v>
      </c>
    </row>
    <row r="107" spans="1:5" x14ac:dyDescent="0.2">
      <c r="A107" s="262" t="s">
        <v>392</v>
      </c>
      <c r="B107" s="272">
        <f>SUMIF($A$252:$A$1259,"IMIMEMO",B$252:B$1259)</f>
        <v>240000</v>
      </c>
      <c r="C107" s="273">
        <f>SUMIF($A$252:$A$1259,"IMIMEMO",C$252:C$1259)</f>
        <v>600000</v>
      </c>
      <c r="D107" s="271">
        <f>SUMIF($A$252:$A$1259,"IMIMEMO",D$252:D$1259)</f>
        <v>634800</v>
      </c>
      <c r="E107" s="271">
        <f>SUMIF($A$252:$A$1259,"IMIMEMO",E$252:E$1259)</f>
        <v>671600</v>
      </c>
    </row>
    <row r="108" spans="1:5" x14ac:dyDescent="0.2">
      <c r="A108" s="262" t="s">
        <v>217</v>
      </c>
      <c r="B108" s="272">
        <f>SUMIF($A$252:$A$1259,"MUNICIPAL HEALTH OPERATIONAL COSTS",B$252:B$1259)</f>
        <v>100000</v>
      </c>
      <c r="C108" s="273">
        <f>SUMIF($A$252:$A$1259,"MUNICIPAL HEALTH OPERATIONAL COSTS",C$252:C$1259)</f>
        <v>1100000</v>
      </c>
      <c r="D108" s="271">
        <f>SUMIF($A$252:$A$1259,"MUNICIPAL HEALTH OPERATIONAL COSTS",D$252:D$1259)</f>
        <v>1163800</v>
      </c>
      <c r="E108" s="271">
        <f>SUMIF($A$252:$A$1259,"MUNICIPAL HEALTH OPERATIONAL COSTS",E$252:E$1259)</f>
        <v>1231300</v>
      </c>
    </row>
    <row r="109" spans="1:5" x14ac:dyDescent="0.2">
      <c r="A109" s="262" t="s">
        <v>149</v>
      </c>
      <c r="B109" s="272">
        <f>SUMIF($A$252:$A$1259,"OFFICE RENTAL",B$252:B$1259)</f>
        <v>0</v>
      </c>
      <c r="C109" s="273">
        <f>SUMIF($A$252:$A$1259,"OFFICE RENTAL",C$252:C$1259)</f>
        <v>0</v>
      </c>
      <c r="D109" s="271">
        <f>SUMIF($A$252:$A$1259,"OFFICE RENTAL",D$252:D$1259)</f>
        <v>0</v>
      </c>
      <c r="E109" s="271">
        <f>SUMIF($A$252:$A$1259,"OFFICE RENTAL",E$252:E$1259)</f>
        <v>0</v>
      </c>
    </row>
    <row r="110" spans="1:5" x14ac:dyDescent="0.2">
      <c r="A110" s="262" t="s">
        <v>84</v>
      </c>
      <c r="B110" s="272">
        <f>SUMIF($A$252:$A$1259,"PMS OPERATIONAL COSTS-EDM FUNDS",B$252:B$1259)</f>
        <v>420000</v>
      </c>
      <c r="C110" s="273">
        <f>SUMIF($A$252:$A$1259,"PMS OPERATIONAL COSTS-EDM FUNDS",C$252:C$1259)</f>
        <v>420000</v>
      </c>
      <c r="D110" s="271">
        <f>SUMIF($A$252:$A$1259,"PMS OPERATIONAL COSTS-EDM FUNDS",D$252:D$1259)</f>
        <v>444400</v>
      </c>
      <c r="E110" s="271">
        <f>SUMIF($A$252:$A$1259,"PMS OPERATIONAL COSTS-EDM FUNDS",E$252:E$1259)</f>
        <v>470200</v>
      </c>
    </row>
    <row r="111" spans="1:5" x14ac:dyDescent="0.2">
      <c r="A111" s="262" t="s">
        <v>150</v>
      </c>
      <c r="B111" s="272">
        <f>SUMIF($A$252:$A$1259,"POST BAG AND POST BOX RENTAL",B$252:B$1259)</f>
        <v>5000</v>
      </c>
      <c r="C111" s="273">
        <f>SUMIF($A$252:$A$1259,"POST BAG AND POST BOX RENTAL",C$252:C$1259)</f>
        <v>5000</v>
      </c>
      <c r="D111" s="271">
        <f>SUMIF($A$252:$A$1259,"POST BAG AND POST BOX RENTAL",D$252:D$1259)</f>
        <v>5300</v>
      </c>
      <c r="E111" s="271">
        <f>SUMIF($A$252:$A$1259,"POST BAG AND POST BOX RENTAL",E$252:E$1259)</f>
        <v>5600</v>
      </c>
    </row>
    <row r="112" spans="1:5" x14ac:dyDescent="0.2">
      <c r="A112" s="262" t="s">
        <v>151</v>
      </c>
      <c r="B112" s="272">
        <f>SUMIF($A$252:$A$1259,"POSTAGE AND STAMPS",B$252:B$1259)</f>
        <v>8887</v>
      </c>
      <c r="C112" s="273">
        <f>SUMIF($A$252:$A$1259,"POSTAGE AND STAMPS",C$252:C$1259)</f>
        <v>8887</v>
      </c>
      <c r="D112" s="271">
        <f>SUMIF($A$252:$A$1259,"POSTAGE AND STAMPS",D$252:D$1259)</f>
        <v>9400</v>
      </c>
      <c r="E112" s="271">
        <f>SUMIF($A$252:$A$1259,"POSTAGE AND STAMPS",E$252:E$1259)</f>
        <v>9900</v>
      </c>
    </row>
    <row r="113" spans="1:6" x14ac:dyDescent="0.2">
      <c r="A113" s="262" t="s">
        <v>159</v>
      </c>
      <c r="B113" s="284">
        <f>SUMIF($A$252:$A$1259,"PRINTING AND STATIONERY",B$252:B$1259)</f>
        <v>1516116</v>
      </c>
      <c r="C113" s="281">
        <f>SUMIF($A$252:$A$1259,"PRINTING AND STATIONERY",C$252:C$1259)</f>
        <v>1571722</v>
      </c>
      <c r="D113" s="280">
        <f>SUMIF($A$252:$A$1259,"PRINTING AND STATIONERY",D$252:D$1259)</f>
        <v>1663000</v>
      </c>
      <c r="E113" s="280">
        <f>SUMIF($A$252:$A$1259,"PRINTING AND STATIONERY",E$252:E$1259)</f>
        <v>1759500</v>
      </c>
    </row>
    <row r="114" spans="1:6" x14ac:dyDescent="0.2">
      <c r="A114" s="262" t="s">
        <v>216</v>
      </c>
      <c r="B114" s="272">
        <f>SUMIF($A$252:$A$1259,"PROFESSIONAL SERVICES",B$252:B$1259)</f>
        <v>1200000</v>
      </c>
      <c r="C114" s="273">
        <f>SUMIF($A$252:$A$1259,"PROFESSIONAL SERVICES",C$252:C$1259)</f>
        <v>200000</v>
      </c>
      <c r="D114" s="271">
        <f>SUMIF($A$252:$A$1259,"PROFESSIONAL SERVICES",D$252:D$1259)</f>
        <v>211600</v>
      </c>
      <c r="E114" s="271">
        <f>SUMIF($A$252:$A$1259,"PROFESSIONAL SERVICES",E$252:E$1259)</f>
        <v>223900</v>
      </c>
    </row>
    <row r="115" spans="1:6" x14ac:dyDescent="0.2">
      <c r="A115" s="262" t="s">
        <v>35</v>
      </c>
      <c r="B115" s="272">
        <f>SUMIF($A$252:$A$1259,"PROGRAMS AND CAMPAIGNS",B$252:B$1259)</f>
        <v>800000</v>
      </c>
      <c r="C115" s="273">
        <f>SUMIF($A$252:$A$1259,"PROGRAMS AND CAMPAIGNS",C$252:C$1259)</f>
        <v>1300000</v>
      </c>
      <c r="D115" s="271">
        <f>SUMIF($A$252:$A$1259,"PROGRAMS AND CAMPAIGNS",D$252:D$1259)</f>
        <v>1375400</v>
      </c>
      <c r="E115" s="271">
        <f>SUMIF($A$252:$A$1259,"PROGRAMS AND CAMPAIGNS",E$252:E$1259)</f>
        <v>1455200</v>
      </c>
    </row>
    <row r="116" spans="1:6" x14ac:dyDescent="0.2">
      <c r="A116" s="262" t="s">
        <v>152</v>
      </c>
      <c r="B116" s="272">
        <f>SUMIF($A$252:$A$1259,"PROTECTIVE CLOTHING",B$252:B$1259)</f>
        <v>110000</v>
      </c>
      <c r="C116" s="273">
        <f>SUMIF($A$252:$A$1259,"PROTECTIVE CLOTHING",C$252:C$1259)</f>
        <v>50000</v>
      </c>
      <c r="D116" s="271">
        <f>SUMIF($A$252:$A$1259,"PROTECTIVE CLOTHING",D$252:D$1259)</f>
        <v>52900</v>
      </c>
      <c r="E116" s="271">
        <f>SUMIF($A$252:$A$1259,"PROTECTIVE CLOTHING",E$252:E$1259)</f>
        <v>56000</v>
      </c>
    </row>
    <row r="117" spans="1:6" x14ac:dyDescent="0.2">
      <c r="A117" s="262" t="s">
        <v>154</v>
      </c>
      <c r="B117" s="272">
        <f>SUMIF($A$252:$A$1259,"REFERENCE BOOKS &amp; PERIODICALS",B$252:B$1259)</f>
        <v>0</v>
      </c>
      <c r="C117" s="273">
        <f>SUMIF($A$252:$A$1259,"REFERENCE BOOKS &amp; PERIODICALS",C$252:C$1259)</f>
        <v>0</v>
      </c>
      <c r="D117" s="271">
        <f>SUMIF($A$252:$A$1259,"REFERENCE BOOKS &amp; PERIODICALS",D$252:D$1259)</f>
        <v>0</v>
      </c>
      <c r="E117" s="271">
        <f>SUMIF($A$252:$A$1259,"REFERENCE BOOKS &amp; PERIODICALS",E$252:E$1259)</f>
        <v>0</v>
      </c>
    </row>
    <row r="118" spans="1:6" x14ac:dyDescent="0.2">
      <c r="A118" s="262" t="s">
        <v>375</v>
      </c>
      <c r="B118" s="272">
        <f>SUMIF($A$252:$A$1259,"RESOURCE &amp; INFORMATION CENTRE",B$252:B$1259)</f>
        <v>50000</v>
      </c>
      <c r="C118" s="273">
        <f>SUMIF($A$252:$A$1259,"RESOURCE &amp; INFORMATION CENTRE",C$252:C$1259)</f>
        <v>50000</v>
      </c>
      <c r="D118" s="282">
        <f>SUMIF($A$252:$A$1259,"RESOURCE &amp; INFORMATION CENTRE",D$252:D$1259)</f>
        <v>52900</v>
      </c>
      <c r="E118" s="282">
        <f>SUMIF($A$252:$A$1259,"RESOURCE &amp; INFORMATION CENTRE",E$252:E$1259)</f>
        <v>56000</v>
      </c>
    </row>
    <row r="119" spans="1:6" x14ac:dyDescent="0.2">
      <c r="A119" s="262" t="s">
        <v>107</v>
      </c>
      <c r="B119" s="272">
        <f>SUMIF($A$252:$A$1259,"RELOCATION &amp; RECRUITMENT COSTS",B$252:B$1259)</f>
        <v>0</v>
      </c>
      <c r="C119" s="273">
        <f>SUMIF($A$252:$A$1259,"RELOCATION &amp; RECRUITMENT COSTS",C$252:C$1259)</f>
        <v>0</v>
      </c>
      <c r="D119" s="271">
        <f>SUMIF($A$252:$A$1259,"RELOCATION &amp; RECRUITMENT COSTS",D$252:D$1259)</f>
        <v>0</v>
      </c>
      <c r="E119" s="271">
        <f>SUMIF($A$252:$A$1259,"RELOCATION &amp; RECRUITMENT COSTS",E$252:E$1259)</f>
        <v>0</v>
      </c>
    </row>
    <row r="120" spans="1:6" x14ac:dyDescent="0.2">
      <c r="A120" s="262" t="s">
        <v>403</v>
      </c>
      <c r="B120" s="272">
        <f>SUMIF($A$252:$A$1259,"RISK ASSESSMENT",B$252:B$1259)</f>
        <v>0</v>
      </c>
      <c r="C120" s="273">
        <f>SUMIF($A$252:$A$1259,"RISK ASSESSMENT",C$252:C$1259)</f>
        <v>0</v>
      </c>
      <c r="D120" s="282">
        <f>SUMIF($A$252:$A$1259,"RISK ASSESSMENT",D$252:D$1259)</f>
        <v>0</v>
      </c>
      <c r="E120" s="282">
        <f>SUMIF($A$252:$A$1259,"RISK ASSESSMENT",E$252:E$1259)</f>
        <v>0</v>
      </c>
    </row>
    <row r="121" spans="1:6" x14ac:dyDescent="0.2">
      <c r="A121" s="262" t="s">
        <v>408</v>
      </c>
      <c r="B121" s="272">
        <f>SUMIF($A$252:$A$1259,"DISASTER RISK ASSESSMENT",B$252:B$1259)</f>
        <v>0</v>
      </c>
      <c r="C121" s="273">
        <f>SUMIF($A$252:$A$1259,"DISASTER RISK PROFILLING",C$252:C$1259)</f>
        <v>0</v>
      </c>
      <c r="D121" s="271">
        <f>SUMIF($A$252:$A$1259,"DISASTER RISK ASSESSMENT",D$252:D$1259)</f>
        <v>0</v>
      </c>
      <c r="E121" s="271">
        <f>SUMIF($A$252:$A$1259,"DISASTER RISK ASSESSMENT",E$252:E$1259)</f>
        <v>0</v>
      </c>
    </row>
    <row r="122" spans="1:6" x14ac:dyDescent="0.2">
      <c r="A122" s="262" t="s">
        <v>283</v>
      </c>
      <c r="B122" s="272">
        <f>SUMIF($A$252:$A$1259,"RATES",B$252:B$1259)</f>
        <v>0</v>
      </c>
      <c r="C122" s="273">
        <f>SUMIF($A$252:$A$1259,"RATES",C$252:C$1259)</f>
        <v>0</v>
      </c>
      <c r="D122" s="271">
        <f>SUMIF($A$252:$A$1259,"RATES",D$252:D$1259)</f>
        <v>0</v>
      </c>
      <c r="E122" s="271">
        <f>SUMIF($A$252:$A$1259,"RATES",E$252:E$1259)</f>
        <v>0</v>
      </c>
    </row>
    <row r="123" spans="1:6" x14ac:dyDescent="0.2">
      <c r="A123" s="287" t="s">
        <v>389</v>
      </c>
      <c r="B123" s="272">
        <f>SUMIF($A$252:$A$1259,"IT OUTSOURCE AUDIT",B$252:B$1259)</f>
        <v>0</v>
      </c>
      <c r="C123" s="273">
        <f>SUMIF($A$252:$A$1259,"IT OUTSOURCE AUDIT",C$252:C$1259)</f>
        <v>0</v>
      </c>
      <c r="D123" s="282">
        <f>SUMIF($A$252:$A$1259,"IT OUTSOURCE AUDIT",D$252:D$1259)</f>
        <v>0</v>
      </c>
      <c r="E123" s="282">
        <f>SUMIF($A$252:$A$1259,"IT OUTSOURCE AUDIT",E$252:E$1259)</f>
        <v>0</v>
      </c>
    </row>
    <row r="124" spans="1:6" x14ac:dyDescent="0.2">
      <c r="A124" s="262" t="s">
        <v>5</v>
      </c>
      <c r="B124" s="272">
        <f>SUMIF($A$252:$A$1259,"SUPPORT TO LOCAL INITIATIVES",B$252:B$1259)</f>
        <v>0</v>
      </c>
      <c r="C124" s="273">
        <f>SUMIF($A$252:$A$1259,"SUPPORT TO LOCAL INITIATIVES",C$252:C$1259)</f>
        <v>0</v>
      </c>
      <c r="D124" s="271">
        <f>SUMIF($A$252:$A$1259,"SUPPORT TO LOCAL INITIATIVES",D$252:D$1259)</f>
        <v>0</v>
      </c>
      <c r="E124" s="271">
        <f>SUMIF($A$252:$A$1259,"SUPPORT TO LOCAL INITIATIVES",E$252:E$1259)</f>
        <v>0</v>
      </c>
    </row>
    <row r="125" spans="1:6" x14ac:dyDescent="0.2">
      <c r="A125" s="262" t="s">
        <v>379</v>
      </c>
      <c r="B125" s="272">
        <f>SUMIF($A$252:$A$1259,"SAFETY AMBASSADORS",B$252:B$1259)</f>
        <v>4200000</v>
      </c>
      <c r="C125" s="273">
        <f>SUMIF($A$252:$A$1259,"SAFETY AMBASSADORS",C$252:C$1259)</f>
        <v>4200000</v>
      </c>
      <c r="D125" s="282">
        <f>SUMIF($A$252:$A$1259,"SAFETY AMBASSADORS",D$252:D$1259)</f>
        <v>4443600</v>
      </c>
      <c r="E125" s="282">
        <f>SUMIF($A$252:$A$1259,"SAFETY AMBASSADORS",E$252:E$1259)</f>
        <v>4701300</v>
      </c>
    </row>
    <row r="126" spans="1:6" x14ac:dyDescent="0.2">
      <c r="A126" s="262" t="s">
        <v>267</v>
      </c>
      <c r="B126" s="272">
        <f>SUMIF($A$252:$A$1259,"SKILLS DEVELOPMENT: EMPLOYEES",B$252:B$1259)</f>
        <v>900000</v>
      </c>
      <c r="C126" s="273">
        <f>SUMIF($A$252:$A$1259,"SKILLS DEVELOPMENT: EMPLOYEES",C$252:C$1259)</f>
        <v>800000</v>
      </c>
      <c r="D126" s="271">
        <f>SUMIF($A$252:$A$1259,"SKILLS DEVELOPMENT: EMPLOYEES",D$252:D$1259)</f>
        <v>846400</v>
      </c>
      <c r="E126" s="271">
        <f>SUMIF($A$252:$A$1259,"SKILLS DEVELOPMENT: EMPLOYEES",E$252:E$1259)</f>
        <v>895500</v>
      </c>
      <c r="F126" s="288"/>
    </row>
    <row r="127" spans="1:6" x14ac:dyDescent="0.2">
      <c r="A127" s="262" t="s">
        <v>265</v>
      </c>
      <c r="B127" s="272">
        <f>SUMIF($A$252:$A$1259,"SKILLS DEVELOPMENT LEVY",B$252:B$1259)</f>
        <v>96665</v>
      </c>
      <c r="C127" s="273">
        <f>SUMIF($A$252:$A$1259,"SKILLS DEVELOPMENT LEVY",C$252:C$1259)</f>
        <v>0</v>
      </c>
      <c r="D127" s="271">
        <f>SUMIF($A$252:$A$1259,"SKILLS DEVELOPMENT LEVY",D$252:D$1259)</f>
        <v>0</v>
      </c>
      <c r="E127" s="271">
        <f>SUMIF($A$252:$A$1259,"SKILLS DEVELOPMENT LEVY",E$252:E$1259)</f>
        <v>0</v>
      </c>
      <c r="F127" s="288"/>
    </row>
    <row r="128" spans="1:6" x14ac:dyDescent="0.2">
      <c r="A128" s="262" t="s">
        <v>480</v>
      </c>
      <c r="B128" s="272">
        <f>SUMIF($A$252:$A$1259,"SECURITY SERVICES",B$252:B$1259)</f>
        <v>1320000</v>
      </c>
      <c r="C128" s="273">
        <f>SUMIF($A$252:$A$1259,"SECURITY SERVICES",C$252:C$1259)</f>
        <v>1500000</v>
      </c>
      <c r="D128" s="271">
        <f>SUMIF($A$252:$A$1259,"SECURITY SERVICES",D$252:D$1259)</f>
        <v>1587000</v>
      </c>
      <c r="E128" s="271">
        <f>SUMIF($A$252:$A$1259,"SECURITY SERVICES",E$252:E$1259)</f>
        <v>1679000</v>
      </c>
      <c r="F128" s="288"/>
    </row>
    <row r="129" spans="1:6" x14ac:dyDescent="0.2">
      <c r="A129" s="262" t="s">
        <v>160</v>
      </c>
      <c r="B129" s="272">
        <f>SUMIF($A$252:$A$1259,"TELEPHONE",B$252:B$1259)</f>
        <v>1394475</v>
      </c>
      <c r="C129" s="273">
        <f>SUMIF($A$252:$A$1259,"TELEPHONE",C$252:C$1259)</f>
        <v>1400000</v>
      </c>
      <c r="D129" s="271">
        <f>SUMIF($A$252:$A$1259,"TELEPHONE",D$252:D$1259)</f>
        <v>1481200</v>
      </c>
      <c r="E129" s="271">
        <f>SUMIF($A$252:$A$1259,"TELEPHONE",E$252:E$1259)</f>
        <v>1567100</v>
      </c>
      <c r="F129" s="288"/>
    </row>
    <row r="130" spans="1:6" x14ac:dyDescent="0.2">
      <c r="A130" s="262" t="s">
        <v>260</v>
      </c>
      <c r="B130" s="272">
        <f>SUMIF($A$252:$A$1259,"TRADE ZONES",B$252:B$1259)</f>
        <v>0</v>
      </c>
      <c r="C130" s="273">
        <f>SUMIF($A$252:$A$1259,"TRADE ZONES",C$252:C$1259)</f>
        <v>0</v>
      </c>
      <c r="D130" s="271">
        <f>SUMIF($A$252:$A$1259,"TRADE ZONES",D$252:D$1259)</f>
        <v>0</v>
      </c>
      <c r="E130" s="271">
        <f>SUMIF($A$252:$A$1259,"TRADE ZONES",E$252:E$1259)</f>
        <v>0</v>
      </c>
      <c r="F130" s="288"/>
    </row>
    <row r="131" spans="1:6" x14ac:dyDescent="0.2">
      <c r="A131" s="262" t="s">
        <v>155</v>
      </c>
      <c r="B131" s="272">
        <f>SUMIF($A$252:$A$1259,"TRAVELING AND SUBSISTANCE",B$252:B$1259)</f>
        <v>4809380</v>
      </c>
      <c r="C131" s="273">
        <f>SUMIF($A$252:$A$1259,"TRAVELING AND SUBSISTANCE",C$252:C$1259)</f>
        <v>4968884</v>
      </c>
      <c r="D131" s="271">
        <f>SUMIF($A$252:$A$1259,"TRAVELING AND SUBSISTANCE",D$252:D$1259)</f>
        <v>5369300</v>
      </c>
      <c r="E131" s="271">
        <f>SUMIF($A$252:$A$1259,"TRAVELING AND SUBSISTANCE",E$252:E$1259)</f>
        <v>5677600</v>
      </c>
      <c r="F131" s="288"/>
    </row>
    <row r="132" spans="1:6" s="287" customFormat="1" x14ac:dyDescent="0.2">
      <c r="A132" s="262" t="s">
        <v>156</v>
      </c>
      <c r="B132" s="272">
        <f>SUMIF($A$252:$A$1259,"VEHICLES LICENSES",B$252:B$1259)</f>
        <v>19272</v>
      </c>
      <c r="C132" s="273">
        <f>SUMIF($A$252:$A$1259,"VEHICLES LICENSES",C$252:C$1259)</f>
        <v>19272</v>
      </c>
      <c r="D132" s="271">
        <f>SUMIF($A$252:$A$1259,"VEHICLES LICENSES",D$252:D$1259)</f>
        <v>20400</v>
      </c>
      <c r="E132" s="271">
        <f>SUMIF($A$252:$A$1259,"VEHICLES LICENSES",E$252:E$1259)</f>
        <v>21600</v>
      </c>
      <c r="F132" s="288"/>
    </row>
    <row r="133" spans="1:6" s="287" customFormat="1" x14ac:dyDescent="0.2">
      <c r="A133" s="262" t="s">
        <v>282</v>
      </c>
      <c r="B133" s="272">
        <f>SUMIF($A$252:$A$1259,"WATER",B$252:B$1259)</f>
        <v>0</v>
      </c>
      <c r="C133" s="273">
        <f>SUMIF($A$252:$A$1259,"WATER",C$252:C$1259)</f>
        <v>0</v>
      </c>
      <c r="D133" s="271">
        <f>SUMIF($A$252:$A$1259,"WATER",D$252:D$1259)</f>
        <v>0</v>
      </c>
      <c r="E133" s="271">
        <f>SUMIF($A$252:$A$1259,"WATER",E$252:E$1259)</f>
        <v>0</v>
      </c>
      <c r="F133" s="288"/>
    </row>
    <row r="134" spans="1:6" s="287" customFormat="1" x14ac:dyDescent="0.2">
      <c r="A134" s="262" t="s">
        <v>3</v>
      </c>
      <c r="B134" s="272">
        <f>SUMIF($A$252:$A$1259,"WEBSITE MAINTANANCE",B$252:B$1259)</f>
        <v>0</v>
      </c>
      <c r="C134" s="273">
        <f>SUMIF($A$252:$A$1259,"WEBSITE MAINTANANCE",C$252:C$1259)</f>
        <v>0</v>
      </c>
      <c r="D134" s="271">
        <f>SUMIF($A$252:$A$1259,"WEBSITE MAINTANANCE",D$252:D$1259)</f>
        <v>0</v>
      </c>
      <c r="E134" s="271">
        <f>SUMIF($A$252:$A$1259,"WEBSITE MAINTANANCE",E$252:E$1259)</f>
        <v>0</v>
      </c>
      <c r="F134" s="288"/>
    </row>
    <row r="135" spans="1:6" x14ac:dyDescent="0.2">
      <c r="A135" s="262" t="s">
        <v>271</v>
      </c>
      <c r="B135" s="272">
        <f>SUMIF($A$252:$A$1259,"VOLUNTEER PROGRAMME",B$252:B$1259)</f>
        <v>800000</v>
      </c>
      <c r="C135" s="273">
        <f>SUMIF($A$252:$A$1259,"VOLUNTEER PROGRAMME",C$252:C$1259)</f>
        <v>800000</v>
      </c>
      <c r="D135" s="271">
        <f>SUMIF($A$252:$A$1259,"VOLUNTEER PROGRAMME",D$252:D$1259)</f>
        <v>846400</v>
      </c>
      <c r="E135" s="271">
        <f>SUMIF($A$252:$A$1259,"VOLUNTEER PROGRAMME",E$252:E$1259)</f>
        <v>895500</v>
      </c>
      <c r="F135" s="288"/>
    </row>
    <row r="136" spans="1:6" x14ac:dyDescent="0.2">
      <c r="A136" s="262" t="s">
        <v>424</v>
      </c>
      <c r="B136" s="272">
        <f>SUMIF($A$252:$A$1259,"VECTOR CONTROL",B$252:B$1259)</f>
        <v>200000</v>
      </c>
      <c r="C136" s="273">
        <f>SUMIF($A$252:$A$1259,"VECTOR CONTROL",C$252:C$1259)</f>
        <v>200000</v>
      </c>
      <c r="D136" s="271">
        <f>SUMIF($A$252:$A$1259,"VECTOR CONTROL",D$252:D$1259)</f>
        <v>213200</v>
      </c>
      <c r="E136" s="271">
        <f>SUMIF($A$252:$A$1259,"VECTOR CONTROL",E$252:E$1259)</f>
        <v>224000</v>
      </c>
      <c r="F136" s="288"/>
    </row>
    <row r="137" spans="1:6" x14ac:dyDescent="0.2">
      <c r="A137" s="262" t="s">
        <v>276</v>
      </c>
      <c r="B137" s="272">
        <f>SUMIF($A$252:$A$1259,"PLANNING INFORMATION",B$252:B$1259)</f>
        <v>0</v>
      </c>
      <c r="C137" s="273">
        <f>SUMIF($A$252:$A$1259,"PLANNING INFORMATION",C$252:C$1259)</f>
        <v>250000</v>
      </c>
      <c r="D137" s="271">
        <f>SUMIF($A$252:$A$1259,"PLANNING INFORMATION",D$252:D$1259)</f>
        <v>264500</v>
      </c>
      <c r="E137" s="271">
        <f>SUMIF($A$252:$A$1259,"PLANNING INFORMATION",E$252:E$1259)</f>
        <v>279800</v>
      </c>
      <c r="F137" s="288"/>
    </row>
    <row r="138" spans="1:6" x14ac:dyDescent="0.2">
      <c r="A138" s="262" t="s">
        <v>279</v>
      </c>
      <c r="B138" s="272">
        <f>SUMIF($A$252:$A$1259,"IGR WATER COLLABORATION FORUM",B$252:B$1259)</f>
        <v>8847</v>
      </c>
      <c r="C138" s="273">
        <f>SUMIF($A$252:$A$1259,"IGR WATER COLLABORATION FORUM",C$252:C$1259)</f>
        <v>8847</v>
      </c>
      <c r="D138" s="271">
        <f>SUMIF($A$252:$A$1259,"IGR WATER COLLABORATION FORUM",D$252:D$1259)</f>
        <v>9400</v>
      </c>
      <c r="E138" s="271">
        <f>SUMIF($A$252:$A$1259,"IGR WATER COLLABORATION FORUM",E$252:E$1259)</f>
        <v>9900</v>
      </c>
      <c r="F138" s="288"/>
    </row>
    <row r="139" spans="1:6" x14ac:dyDescent="0.2">
      <c r="A139" s="262" t="s">
        <v>277</v>
      </c>
      <c r="B139" s="272">
        <f>SUMIF($A$252:$A$1259,"PROFESSIONAL MEMBERSHIP",B$252:B$1259)</f>
        <v>1211719</v>
      </c>
      <c r="C139" s="273">
        <f>SUMIF($A$252:$A$1259,"PROFESSIONAL MEMBERSHIP",C$252:C$1259)</f>
        <v>1412000</v>
      </c>
      <c r="D139" s="271">
        <f>SUMIF($A$252:$A$1259,"PROFESSIONAL MEMBERSHIP",D$252:D$1259)</f>
        <v>1493900</v>
      </c>
      <c r="E139" s="271">
        <f>SUMIF($A$252:$A$1259,"PROFESSIONAL MEMBERSHIP",E$252:E$1259)</f>
        <v>1580500</v>
      </c>
      <c r="F139" s="288"/>
    </row>
    <row r="140" spans="1:6" x14ac:dyDescent="0.2">
      <c r="A140" s="262" t="s">
        <v>285</v>
      </c>
      <c r="B140" s="272">
        <f>SUMIF($A$252:$A$1259,"MORAL REGENERATION",B$252:B$1259)</f>
        <v>100000</v>
      </c>
      <c r="C140" s="273">
        <f>SUMIF($A$252:$A$1259,"MORAL REGENERATION",C$252:C$1259)</f>
        <v>100000</v>
      </c>
      <c r="D140" s="271">
        <f>SUMIF($A$252:$A$1259,"MORAL REGENERATION",D$252:D$1259)</f>
        <v>105800</v>
      </c>
      <c r="E140" s="271">
        <f>SUMIF($A$252:$A$1259,"MORAL REGENERATION",E$252:E$1259)</f>
        <v>111900</v>
      </c>
      <c r="F140" s="288"/>
    </row>
    <row r="141" spans="1:6" x14ac:dyDescent="0.2">
      <c r="A141" s="262" t="s">
        <v>475</v>
      </c>
      <c r="B141" s="279">
        <f>SUMIF($A$252:$A$1259,"PUBLIC PARTICIPATION AND CONSULTATION PROCESS ",B$252:B$1259)</f>
        <v>500000</v>
      </c>
      <c r="C141" s="273">
        <f>SUMIF($A$252:$A$1259,"PUBLIC PARTICIPATION AND CONSULTATION PROCESS ",C$252:C$1259)</f>
        <v>300000</v>
      </c>
      <c r="D141" s="282">
        <f>SUMIF($A$252:$A$1259,"PUBLIC PARTICIPATION AND CONSULTATION PROCESS ",D$252:D$1259)</f>
        <v>317900</v>
      </c>
      <c r="E141" s="282">
        <f>SUMIF($A$252:$A$1259,"PUBLIC PARTICIPATION AND CONSULTATION PROCESS ",E$252:E$1259)</f>
        <v>336100</v>
      </c>
      <c r="F141" s="288"/>
    </row>
    <row r="142" spans="1:6" x14ac:dyDescent="0.2">
      <c r="A142" s="262" t="s">
        <v>286</v>
      </c>
      <c r="B142" s="272">
        <f>SUMIF($A$252:$A$1259,"EDM SPEAKERS FORUM",B$252:B$1259)</f>
        <v>0</v>
      </c>
      <c r="C142" s="273">
        <f>SUMIF($A$252:$A$1259,"EDM SPEAKERS FORUM",C$252:C$1259)</f>
        <v>0</v>
      </c>
      <c r="D142" s="271">
        <f>SUMIF($A$252:$A$1259,"EDM SPEAKERS FORUM",D$252:D$1259)</f>
        <v>0</v>
      </c>
      <c r="E142" s="271">
        <f>SUMIF($A$252:$A$1259,"EDM SPEAKERS FORUM",E$252:E$1259)</f>
        <v>0</v>
      </c>
      <c r="F142" s="288"/>
    </row>
    <row r="143" spans="1:6" x14ac:dyDescent="0.2">
      <c r="A143" s="262" t="s">
        <v>305</v>
      </c>
      <c r="B143" s="272">
        <f>SUMIF($A$252:$A$1259,"IMPLEMENTATION OF CORPORATE GIS",B$252:B$1259)</f>
        <v>0</v>
      </c>
      <c r="C143" s="273">
        <f>SUMIF($A$252:$A$1259,"IMPLEMENTATION OF CORPORATE GIS",C$252:C$1259)</f>
        <v>0</v>
      </c>
      <c r="D143" s="271">
        <f>SUMIF($A$252:$A$1259,"IMPLEMENTATION OF CORPORATE GIS",D$252:D$1259)</f>
        <v>0</v>
      </c>
      <c r="E143" s="271">
        <f>SUMIF($A$252:$A$1259,"IMPLEMENTATION OF CORPORATE GIS",E$252:E$1259)</f>
        <v>0</v>
      </c>
      <c r="F143" s="288"/>
    </row>
    <row r="144" spans="1:6" x14ac:dyDescent="0.2">
      <c r="A144" s="262" t="s">
        <v>384</v>
      </c>
      <c r="B144" s="272">
        <f>SUMIF($A$252:$A$1259,"INTERGRATION OF GIS SYSTEM WITH BUSINESS SYSTEMS",B$252:B$1259)</f>
        <v>0</v>
      </c>
      <c r="C144" s="273">
        <f>SUMIF($A$252:$A$1259,"INTERGRATION OF GIS SYSTEM WITH BUSINESS SYSTEMS",C$252:C$1259)</f>
        <v>0</v>
      </c>
      <c r="D144" s="279">
        <f>SUMIF($A$252:$A$1259,"INTERGRATION OF GIS SYSTEM WITH BUSINESS SYSTEMS",D$252:D$1259)</f>
        <v>0</v>
      </c>
      <c r="E144" s="279">
        <f>SUMIF($A$252:$A$1259,"INTERGRATION OF GIS SYSTEM WITH BUSINESS SYSTEMS",E$252:E$1259)</f>
        <v>0</v>
      </c>
      <c r="F144" s="288"/>
    </row>
    <row r="145" spans="1:6" x14ac:dyDescent="0.2">
      <c r="A145" s="262" t="s">
        <v>306</v>
      </c>
      <c r="B145" s="272">
        <f>SUMIF($A$252:$A$1259,"GIS BASELINE ACQUISITION",B$252:B$1259)</f>
        <v>0</v>
      </c>
      <c r="C145" s="273">
        <f>SUMIF($A$252:$A$1259,"GIS BASELINE ACQUISITION",C$252:C$1259)</f>
        <v>0</v>
      </c>
      <c r="D145" s="271">
        <f>SUMIF($A$252:$A$1259,"GIS BASELINE ACQUISITION",D$252:D$1259)</f>
        <v>0</v>
      </c>
      <c r="E145" s="271">
        <f>SUMIF($A$252:$A$1259,"GIS BASELINE ACQUISITION",E$252:E$1259)</f>
        <v>0</v>
      </c>
      <c r="F145" s="288"/>
    </row>
    <row r="146" spans="1:6" x14ac:dyDescent="0.2">
      <c r="A146" s="262" t="s">
        <v>307</v>
      </c>
      <c r="B146" s="272">
        <f>SUMIF($A$252:$A$1259,"AIR QUALITY MANAGEMENT PLAN",B$252:B$1259)</f>
        <v>0</v>
      </c>
      <c r="C146" s="273">
        <f>SUMIF($A$252:$A$1259,"AIR QUALITY MANAGEMENT PLAN",C$252:C$1259)</f>
        <v>0</v>
      </c>
      <c r="D146" s="271">
        <f>SUMIF($A$252:$A$1259,"AIR QUALITY MANAGEMENT PLAN",D$252:D$1259)</f>
        <v>0</v>
      </c>
      <c r="E146" s="271">
        <f>SUMIF($A$252:$A$1259,"AIR QUALITY MANAGEMENT PLAN",E$252:E$1259)</f>
        <v>0</v>
      </c>
      <c r="F146" s="288"/>
    </row>
    <row r="147" spans="1:6" x14ac:dyDescent="0.2">
      <c r="A147" s="262" t="s">
        <v>386</v>
      </c>
      <c r="B147" s="272">
        <v>0</v>
      </c>
      <c r="C147" s="273"/>
      <c r="D147" s="279"/>
      <c r="E147" s="279"/>
      <c r="F147" s="288"/>
    </row>
    <row r="148" spans="1:6" x14ac:dyDescent="0.2">
      <c r="A148" s="262" t="s">
        <v>308</v>
      </c>
      <c r="B148" s="272">
        <f>SUMIF($A$252:$A$1259,"DISASTER MANAGEMENT PLAN",B$252:B$1259)</f>
        <v>0</v>
      </c>
      <c r="C148" s="273">
        <f>SUMIF($A$252:$A$1259,"DISASTER MANAGEMENT PLAN",C$252:C$1259)</f>
        <v>0</v>
      </c>
      <c r="D148" s="271">
        <f>SUMIF($A$252:$A$1259,"DISASTER MANAGEMENT PLAN",D$252:D$1259)</f>
        <v>0</v>
      </c>
      <c r="E148" s="271">
        <f>SUMIF($A$252:$A$1259,"DISASTER MANAGEMENT PLAN",E$252:E$1259)</f>
        <v>0</v>
      </c>
      <c r="F148" s="288"/>
    </row>
    <row r="149" spans="1:6" x14ac:dyDescent="0.2">
      <c r="A149" s="262" t="s">
        <v>309</v>
      </c>
      <c r="B149" s="272">
        <f>SUMIF($A$252:$A$1259,"INDIVIDUAL PMS",B$252:B$1259)</f>
        <v>100000</v>
      </c>
      <c r="C149" s="273">
        <f>SUMIF($A$252:$A$1259,"INDIVIDUAL PMS",C$252:C$1259)</f>
        <v>200000</v>
      </c>
      <c r="D149" s="271">
        <f>SUMIF($A$252:$A$1259,"INDIVIDUAL PMS",D$252:D$1259)</f>
        <v>211600</v>
      </c>
      <c r="E149" s="271">
        <f>SUMIF($A$252:$A$1259,"INDIVIDUAL PMS",E$252:E$1259)</f>
        <v>223900</v>
      </c>
      <c r="F149" s="288"/>
    </row>
    <row r="150" spans="1:6" x14ac:dyDescent="0.2">
      <c r="A150" s="262" t="s">
        <v>310</v>
      </c>
      <c r="B150" s="272">
        <f>SUMIF($A$252:$A$1259,"METRO FM AWARDS",B$252:B$1259)</f>
        <v>0</v>
      </c>
      <c r="C150" s="273">
        <f>SUMIF($A$252:$A$1259,"METRO FM AWARDS",C$252:C$1259)</f>
        <v>0</v>
      </c>
      <c r="D150" s="271">
        <f>SUMIF($A$252:$A$1259,"METRO FM AWARDS",D$252:D$1259)</f>
        <v>0</v>
      </c>
      <c r="E150" s="271">
        <f>SUMIF($A$252:$A$1259,"METRO FM AWARDS",E$252:E$1259)</f>
        <v>0</v>
      </c>
      <c r="F150" s="288"/>
    </row>
    <row r="151" spans="1:6" x14ac:dyDescent="0.2">
      <c r="A151" s="262" t="s">
        <v>311</v>
      </c>
      <c r="B151" s="272">
        <f>SUMIF($A$252:$A$1259,"PROGRAMMES AND SUPPORT",B$252:B$1259)</f>
        <v>0</v>
      </c>
      <c r="C151" s="273">
        <f>SUMIF($A$252:$A$1259,"PROGRAMMES AND SUPPORT",C$252:C$1259)</f>
        <v>0</v>
      </c>
      <c r="D151" s="271">
        <f>SUMIF($A$252:$A$1259,"PROGRAMMES AND SUPPORT",D$252:D$1259)</f>
        <v>0</v>
      </c>
      <c r="E151" s="271">
        <f>SUMIF($A$252:$A$1259,"PROGRAMMES AND SUPPORT",E$252:E$1259)</f>
        <v>0</v>
      </c>
      <c r="F151" s="288"/>
    </row>
    <row r="152" spans="1:6" x14ac:dyDescent="0.2">
      <c r="A152" s="262" t="s">
        <v>287</v>
      </c>
      <c r="B152" s="272">
        <f>SUMIF($A$252:$A$1259,"CAPACITY BUILDING (COUNCILLORS)",B$252:B$1259)</f>
        <v>200000</v>
      </c>
      <c r="C152" s="273">
        <f>SUMIF($A$252:$A$1259,"CAPACITY BUILDING (COUNCILLORS)",C$252:C$1259)</f>
        <v>400000</v>
      </c>
      <c r="D152" s="271">
        <f>SUMIF($A$252:$A$1259,"CAPACITY BUILDING (COUNCILLORS)",D$252:D$1259)</f>
        <v>423200</v>
      </c>
      <c r="E152" s="271">
        <f>SUMIF($A$252:$A$1259,"CAPACITY BUILDING (COUNCILLORS)",E$252:E$1259)</f>
        <v>447700</v>
      </c>
      <c r="F152" s="288"/>
    </row>
    <row r="153" spans="1:6" x14ac:dyDescent="0.2">
      <c r="A153" s="262" t="s">
        <v>321</v>
      </c>
      <c r="B153" s="272">
        <f>SUMIF($A$252:$A$1259,"WOMEN'S COUNCIL DIALOGUE",B$252:B$1259)</f>
        <v>200000</v>
      </c>
      <c r="C153" s="273">
        <f>SUMIF($A$252:$A$1259,"WOMEN'S COUNCIL DIALOGUE",C$252:C$1259)</f>
        <v>200000</v>
      </c>
      <c r="D153" s="271">
        <f>SUMIF($A$252:$A$1259,"WOMEN'S COUNCIL DIALOGUE",D$252:D$1259)</f>
        <v>211600</v>
      </c>
      <c r="E153" s="271">
        <f>SUMIF($A$252:$A$1259,"WOMEN'S COUNCIL DIALOGUE",E$252:E$1259)</f>
        <v>223900</v>
      </c>
      <c r="F153" s="288"/>
    </row>
    <row r="154" spans="1:6" x14ac:dyDescent="0.2">
      <c r="A154" s="262" t="s">
        <v>320</v>
      </c>
      <c r="B154" s="272">
        <f>SUMIF($A$252:$A$1259,"DISABILITY PROGRAMMES",B$252:B$1259)</f>
        <v>400000</v>
      </c>
      <c r="C154" s="273">
        <f>SUMIF($A$252:$A$1259,"DISABILITY PROGRAMMES",C$252:C$1259)</f>
        <v>400000</v>
      </c>
      <c r="D154" s="271">
        <f>SUMIF($A$252:$A$1259,"DISABILITY PROGRAMMES",D$252:D$1259)</f>
        <v>423200</v>
      </c>
      <c r="E154" s="271">
        <f>SUMIF($A$252:$A$1259,"DISABILITY PROGRAMMES",E$252:E$1259)</f>
        <v>447700</v>
      </c>
      <c r="F154" s="288"/>
    </row>
    <row r="155" spans="1:6" x14ac:dyDescent="0.2">
      <c r="A155" s="262" t="s">
        <v>319</v>
      </c>
      <c r="B155" s="272">
        <f>SUMIF($A$252:$A$1259,"YOUTH PROGRAMMES",B$252:B$1259)</f>
        <v>500000</v>
      </c>
      <c r="C155" s="273">
        <f>SUMIF($A$252:$A$1259,"YOUTH PROGRAMMES",C$252:C$1259)</f>
        <v>500000</v>
      </c>
      <c r="D155" s="271">
        <f>SUMIF($A$252:$A$1259,"YOUTH PROGRAMMES",D$252:D$1259)</f>
        <v>529000</v>
      </c>
      <c r="E155" s="271">
        <f>SUMIF($A$252:$A$1259,"YOUTH PROGRAMMES",E$252:E$1259)</f>
        <v>559700</v>
      </c>
      <c r="F155" s="288"/>
    </row>
    <row r="156" spans="1:6" x14ac:dyDescent="0.2">
      <c r="A156" s="262" t="s">
        <v>318</v>
      </c>
      <c r="B156" s="272">
        <f>SUMIF($A$252:$A$1259,"SMME DEVELOPMENT",B$252:B$1259)</f>
        <v>1000000</v>
      </c>
      <c r="C156" s="273">
        <f>SUMIF($A$252:$A$1259,"SMME DEVELOPMENT",C$252:C$1259)</f>
        <v>2000000</v>
      </c>
      <c r="D156" s="271">
        <f>SUMIF($A$252:$A$1259,"SMME DEVELOPMENT",D$252:D$1259)</f>
        <v>2116000</v>
      </c>
      <c r="E156" s="271">
        <f>SUMIF($A$252:$A$1259,"SMME DEVELOPMENT",E$252:E$1259)</f>
        <v>2238700</v>
      </c>
      <c r="F156" s="288"/>
    </row>
    <row r="157" spans="1:6" x14ac:dyDescent="0.2">
      <c r="A157" s="262" t="s">
        <v>327</v>
      </c>
      <c r="B157" s="272">
        <f>SUMIF($A$252:$A$1259,"CHIEF WHIP'S INTERFACE PROGRAMMES",B$252:B$1259)</f>
        <v>300000</v>
      </c>
      <c r="C157" s="273">
        <f>SUMIF($A$252:$A$1259,"CHIEF WHIP'S INTERFACE PROGRAMMES",C$252:C$1259)</f>
        <v>300000</v>
      </c>
      <c r="D157" s="271">
        <f>SUMIF($A$252:$A$1259,"CHIEF WHIP'S INTERFACE PROGRAMMES",D$252:D$1259)</f>
        <v>317500</v>
      </c>
      <c r="E157" s="271">
        <f>SUMIF($A$252:$A$1259,"CHIEF WHIP'S INTERFACE PROGRAMMES",E$252:E$1259)</f>
        <v>335800</v>
      </c>
      <c r="F157" s="288"/>
    </row>
    <row r="158" spans="1:6" ht="12" thickBot="1" x14ac:dyDescent="0.25">
      <c r="A158" s="262" t="s">
        <v>210</v>
      </c>
      <c r="B158" s="274">
        <f>SUM(B49:B157)</f>
        <v>73375126</v>
      </c>
      <c r="C158" s="275">
        <f>SUM(C49:C157)</f>
        <v>86258622</v>
      </c>
      <c r="D158" s="274">
        <f>SUM(D49:D157)</f>
        <v>82194605</v>
      </c>
      <c r="E158" s="274">
        <f>SUM(E49:E157)</f>
        <v>85709905</v>
      </c>
      <c r="F158" s="288"/>
    </row>
    <row r="159" spans="1:6" ht="12" thickTop="1" x14ac:dyDescent="0.2">
      <c r="C159" s="273"/>
      <c r="D159" s="271"/>
      <c r="E159" s="271"/>
    </row>
    <row r="160" spans="1:6" x14ac:dyDescent="0.2">
      <c r="A160" s="270" t="s">
        <v>211</v>
      </c>
      <c r="C160" s="273"/>
      <c r="D160" s="271"/>
      <c r="E160" s="271"/>
    </row>
    <row r="161" spans="1:5" x14ac:dyDescent="0.2">
      <c r="A161" s="270"/>
      <c r="C161" s="273"/>
      <c r="D161" s="277"/>
      <c r="E161" s="277"/>
    </row>
    <row r="162" spans="1:5" x14ac:dyDescent="0.2">
      <c r="A162" s="262" t="s">
        <v>244</v>
      </c>
      <c r="B162" s="272">
        <f>SUMIF($A$252:$A$1259,"R&amp;M: OFFICE MACHINES AND EQUIPMENT",B$252:B$1259)</f>
        <v>11109</v>
      </c>
      <c r="C162" s="273">
        <f>SUMIF($A$252:$A$1259,"R&amp;M: OFFICE MACHINES AND EQUIPMENT",C$252:C$1259)</f>
        <v>11109</v>
      </c>
      <c r="D162" s="271">
        <f>SUMIF($A$252:$A$1259,"R&amp;M: OFFICE MACHINES AND EQUIPMENT",D$252:D$1259)</f>
        <v>11800</v>
      </c>
      <c r="E162" s="271">
        <f>SUMIF($A$252:$A$1259,"R&amp;M: OFFICE MACHINES AND EQUIPMENT",E$252:E$1259)</f>
        <v>12500</v>
      </c>
    </row>
    <row r="163" spans="1:5" x14ac:dyDescent="0.2">
      <c r="A163" s="262" t="s">
        <v>245</v>
      </c>
      <c r="B163" s="272">
        <f>SUMIF($A$252:$A$1259,"R&amp;M: OFFICE FURNITURE AND EQUIPMENT",B$252:B$1259)</f>
        <v>82727</v>
      </c>
      <c r="C163" s="273">
        <f>SUMIF($A$252:$A$1259,"R&amp;M: OFFICE FURNITURE AND EQUIPMENT",C$252:C$1259)</f>
        <v>82727</v>
      </c>
      <c r="D163" s="271">
        <f>SUMIF($A$252:$A$1259,"R&amp;M: OFFICE FURNITURE AND EQUIPMENT",D$252:D$1259)</f>
        <v>87500</v>
      </c>
      <c r="E163" s="271">
        <f>SUMIF($A$252:$A$1259,"R&amp;M: OFFICE FURNITURE AND EQUIPMENT",E$252:E$1259)</f>
        <v>92600</v>
      </c>
    </row>
    <row r="164" spans="1:5" x14ac:dyDescent="0.2">
      <c r="A164" s="262" t="s">
        <v>246</v>
      </c>
      <c r="B164" s="272">
        <f>SUMIF($A$252:$A$1259,"R&amp;M: FIRE BRIGADE WAGONETTES",B$252:B$1259)</f>
        <v>11109</v>
      </c>
      <c r="C164" s="273">
        <f>SUMIF($A$252:$A$1259,"R&amp;M: FIRE BRIGADE WAGONETTES",C$252:C$1259)</f>
        <v>11109</v>
      </c>
      <c r="D164" s="271">
        <f>SUMIF($A$252:$A$1259,"R&amp;M: FIRE BRIGADE WAGONETTES",D$252:D$1259)</f>
        <v>11800</v>
      </c>
      <c r="E164" s="271">
        <f>SUMIF($A$252:$A$1259,"R&amp;M: FIRE BRIGADE WAGONETTES",E$252:E$1259)</f>
        <v>12500</v>
      </c>
    </row>
    <row r="165" spans="1:5" x14ac:dyDescent="0.2">
      <c r="A165" s="262" t="s">
        <v>510</v>
      </c>
      <c r="B165" s="272">
        <f>SUMIF($A$252:$A$1259,"R&amp;M: OFFICE BUILDING",B$252:B$1259)</f>
        <v>2749000</v>
      </c>
      <c r="C165" s="273">
        <f>SUMIF($A$252:$A$1259,"R&amp;M: OFFICE BUILDING",C$252:C$1259)</f>
        <v>1800000</v>
      </c>
      <c r="D165" s="271">
        <f>SUMIF($A$252:$A$1259,"R&amp;M: OFFICE BUILDING",D$252:D$1259)</f>
        <v>2100000</v>
      </c>
      <c r="E165" s="271">
        <f>SUMIF($A$252:$A$1259,"R&amp;M: OFFICE BUILDING",E$252:E$1259)</f>
        <v>2221800</v>
      </c>
    </row>
    <row r="166" spans="1:5" x14ac:dyDescent="0.2">
      <c r="A166" s="262" t="s">
        <v>247</v>
      </c>
      <c r="B166" s="272">
        <f>SUMIF($A$252:$A$1259,"R&amp;M: VEHICLES",B$252:B$1259)</f>
        <v>88870</v>
      </c>
      <c r="C166" s="273">
        <f>SUMIF($A$252:$A$1259,"R&amp;M: VEHICLES",C$252:C$1259)</f>
        <v>88870</v>
      </c>
      <c r="D166" s="271">
        <f>SUMIF($A$252:$A$1259,"R&amp;M: VEHICLES",D$252:D$1259)</f>
        <v>94000</v>
      </c>
      <c r="E166" s="271">
        <f>SUMIF($A$252:$A$1259,"R&amp;M: VEHICLES",E$252:E$1259)</f>
        <v>99500</v>
      </c>
    </row>
    <row r="167" spans="1:5" ht="12" thickBot="1" x14ac:dyDescent="0.25">
      <c r="A167" s="262" t="s">
        <v>212</v>
      </c>
      <c r="B167" s="274">
        <f>SUM(B162:B166)</f>
        <v>2942815</v>
      </c>
      <c r="C167" s="275">
        <f>SUM(C162:C166)</f>
        <v>1993815</v>
      </c>
      <c r="D167" s="289">
        <f>SUM(D162:D166)</f>
        <v>2305100</v>
      </c>
      <c r="E167" s="289">
        <f>SUM(E162:E166)</f>
        <v>2438900</v>
      </c>
    </row>
    <row r="168" spans="1:5" ht="12" thickTop="1" x14ac:dyDescent="0.2">
      <c r="C168" s="273"/>
      <c r="D168" s="277"/>
      <c r="E168" s="277"/>
    </row>
    <row r="169" spans="1:5" x14ac:dyDescent="0.2">
      <c r="A169" s="270" t="s">
        <v>213</v>
      </c>
      <c r="C169" s="273"/>
      <c r="D169" s="277"/>
      <c r="E169" s="277"/>
    </row>
    <row r="170" spans="1:5" x14ac:dyDescent="0.2">
      <c r="C170" s="273"/>
      <c r="D170" s="277"/>
      <c r="E170" s="277"/>
    </row>
    <row r="171" spans="1:5" ht="12" thickBot="1" x14ac:dyDescent="0.25">
      <c r="A171" s="262" t="s">
        <v>214</v>
      </c>
      <c r="B171" s="274">
        <f>B247</f>
        <v>0</v>
      </c>
      <c r="C171" s="275">
        <f>C247</f>
        <v>0</v>
      </c>
      <c r="D171" s="289">
        <f>D247</f>
        <v>0</v>
      </c>
      <c r="E171" s="289">
        <f>E247</f>
        <v>0</v>
      </c>
    </row>
    <row r="172" spans="1:5" ht="12" thickTop="1" x14ac:dyDescent="0.2">
      <c r="C172" s="273"/>
      <c r="D172" s="277"/>
      <c r="E172" s="277"/>
    </row>
    <row r="173" spans="1:5" x14ac:dyDescent="0.2">
      <c r="A173" s="270" t="s">
        <v>215</v>
      </c>
      <c r="C173" s="273"/>
      <c r="D173" s="277"/>
      <c r="E173" s="277"/>
    </row>
    <row r="174" spans="1:5" x14ac:dyDescent="0.2">
      <c r="A174" s="262"/>
      <c r="C174" s="273"/>
      <c r="D174" s="277"/>
      <c r="E174" s="277"/>
    </row>
    <row r="175" spans="1:5" x14ac:dyDescent="0.2">
      <c r="A175" s="262" t="s">
        <v>248</v>
      </c>
      <c r="B175" s="272">
        <f>SUMIF($A$252:$A$1259,"CTF: AUDIT FEES",B$252:B$1259)</f>
        <v>2520000</v>
      </c>
      <c r="C175" s="273">
        <f>SUMIF($A$252:$A$1259,"CTF: AUDIT FEES",C$252:C$1259)</f>
        <v>2900000</v>
      </c>
      <c r="D175" s="271">
        <f>SUMIF($A$252:$A$1259,"CTF: AUDIT FEES",D$252:D$1259)</f>
        <v>2800000</v>
      </c>
      <c r="E175" s="271">
        <f>SUMIF($A$252:$A$1259,"CTF: AUDIT FEES",E$252:E$1259)</f>
        <v>2962400</v>
      </c>
    </row>
    <row r="176" spans="1:5" x14ac:dyDescent="0.2">
      <c r="A176" s="262" t="s">
        <v>249</v>
      </c>
      <c r="B176" s="272">
        <f>SUMIF($A$252:$A$1259,"CTF: BAD DEBTS",B$252:B$1259)</f>
        <v>0</v>
      </c>
      <c r="C176" s="273">
        <f>SUMIF($A$252:$A$1259,"CTF: BAD DEBTS",C$252:C$1259)</f>
        <v>0</v>
      </c>
      <c r="D176" s="271">
        <f>SUMIF($A$252:$A$1259,"CTF: BAD DEBTS",D$252:D$1259)</f>
        <v>0</v>
      </c>
      <c r="E176" s="271">
        <f>SUMIF($A$252:$A$1259,"CTF: BAD DEBTS",E$252:E$1259)</f>
        <v>0</v>
      </c>
    </row>
    <row r="177" spans="1:11" x14ac:dyDescent="0.2">
      <c r="A177" s="262" t="s">
        <v>332</v>
      </c>
      <c r="B177" s="272">
        <f>SUMIF($A$252:$A$1259,"CTF: DEPRECIATION",B$252:B$1259)</f>
        <v>10595487</v>
      </c>
      <c r="C177" s="273">
        <f>SUMIF($A$252:$A$1259,"CTF: DEPRECIATION",C$252:C$1259)</f>
        <v>10595487</v>
      </c>
      <c r="D177" s="271">
        <f>SUMIF($A$252:$A$1259,"CTF: DEPRECIATION",D$252:D$1259)</f>
        <v>11204682</v>
      </c>
      <c r="E177" s="271">
        <f>SUMIF($A$252:$A$1259,"CTF: DEPRECIATION",E$252:E$1259)</f>
        <v>13452508</v>
      </c>
    </row>
    <row r="178" spans="1:11" x14ac:dyDescent="0.2">
      <c r="A178" s="248" t="s">
        <v>333</v>
      </c>
      <c r="B178" s="272">
        <f>SUMIF($A$252:$A$1259,"CTF: PERFOMANCE BONUS",B$252:B$1259)</f>
        <v>2000000</v>
      </c>
      <c r="C178" s="273">
        <f>SUMIF($A$252:$A$1259,"CTF: PERFOMANCE BONUS",C$252:C$1259)</f>
        <v>1000000</v>
      </c>
      <c r="D178" s="271">
        <f>SUMIF($A$252:$A$1259,"CTF: PERFOMANCE BONUS",D$252:D$1259)</f>
        <v>2120000</v>
      </c>
      <c r="E178" s="271">
        <f>SUMIF($A$252:$A$1259,"CTF: PERFOMANCE BONUS",E$252:E$1259)</f>
        <v>2243000</v>
      </c>
    </row>
    <row r="179" spans="1:11" ht="12" thickBot="1" x14ac:dyDescent="0.25">
      <c r="A179" s="262" t="s">
        <v>117</v>
      </c>
      <c r="B179" s="274">
        <f>SUM(B175:B178)</f>
        <v>15115487</v>
      </c>
      <c r="C179" s="275">
        <f>SUM(C175:C178)</f>
        <v>14495487</v>
      </c>
      <c r="D179" s="289">
        <f>SUM(D175:D178)</f>
        <v>16124682</v>
      </c>
      <c r="E179" s="289">
        <f>SUM(E175:E178)</f>
        <v>18657908</v>
      </c>
    </row>
    <row r="180" spans="1:11" ht="12" thickTop="1" x14ac:dyDescent="0.2">
      <c r="C180" s="273"/>
      <c r="D180" s="277"/>
      <c r="E180" s="277"/>
    </row>
    <row r="181" spans="1:11" x14ac:dyDescent="0.2">
      <c r="C181" s="273"/>
      <c r="D181" s="277"/>
      <c r="E181" s="277"/>
    </row>
    <row r="182" spans="1:11" ht="12" thickBot="1" x14ac:dyDescent="0.25">
      <c r="A182" s="262" t="s">
        <v>121</v>
      </c>
      <c r="B182" s="274">
        <f>B179+B171+B167+B158+B30+B45</f>
        <v>211869673</v>
      </c>
      <c r="C182" s="275">
        <f>C179+C171+C167+C158+C30+C45</f>
        <v>233461326.67577502</v>
      </c>
      <c r="D182" s="289">
        <f>D179+D171+D167+D158+D30+D45</f>
        <v>238923587</v>
      </c>
      <c r="E182" s="289">
        <f>E179+E171+E167+E158+E30+E45</f>
        <v>253126713</v>
      </c>
    </row>
    <row r="183" spans="1:11" ht="12" thickTop="1" x14ac:dyDescent="0.2">
      <c r="C183" s="273"/>
      <c r="D183" s="271"/>
      <c r="E183" s="271"/>
      <c r="K183" s="290"/>
    </row>
    <row r="184" spans="1:11" x14ac:dyDescent="0.2">
      <c r="A184" s="270" t="s">
        <v>122</v>
      </c>
      <c r="C184" s="273"/>
      <c r="D184" s="277"/>
      <c r="E184" s="277"/>
    </row>
    <row r="185" spans="1:11" x14ac:dyDescent="0.2">
      <c r="A185" s="262"/>
      <c r="C185" s="273"/>
      <c r="D185" s="277"/>
      <c r="E185" s="277"/>
    </row>
    <row r="186" spans="1:11" x14ac:dyDescent="0.2">
      <c r="A186" s="270" t="s">
        <v>85</v>
      </c>
      <c r="C186" s="273"/>
      <c r="D186" s="277"/>
      <c r="E186" s="277"/>
    </row>
    <row r="187" spans="1:11" x14ac:dyDescent="0.2">
      <c r="A187" s="262"/>
      <c r="C187" s="273"/>
      <c r="D187" s="277"/>
      <c r="E187" s="277"/>
    </row>
    <row r="188" spans="1:11" x14ac:dyDescent="0.2">
      <c r="A188" s="262" t="s">
        <v>66</v>
      </c>
      <c r="B188" s="272">
        <f t="shared" ref="B188" si="0">B589</f>
        <v>0</v>
      </c>
      <c r="C188" s="273">
        <f t="shared" ref="C188:D188" si="1">C589</f>
        <v>0</v>
      </c>
      <c r="D188" s="277">
        <f t="shared" si="1"/>
        <v>0</v>
      </c>
      <c r="E188" s="277">
        <f t="shared" ref="E188" si="2">E589</f>
        <v>0</v>
      </c>
    </row>
    <row r="189" spans="1:11" x14ac:dyDescent="0.2">
      <c r="A189" s="262" t="s">
        <v>301</v>
      </c>
      <c r="B189" s="272">
        <f t="shared" ref="B189:E190" si="3">B590</f>
        <v>-162880</v>
      </c>
      <c r="C189" s="273">
        <f t="shared" si="3"/>
        <v>-200000</v>
      </c>
      <c r="D189" s="277">
        <f t="shared" si="3"/>
        <v>-276815</v>
      </c>
      <c r="E189" s="277">
        <f t="shared" si="3"/>
        <v>-292900</v>
      </c>
    </row>
    <row r="190" spans="1:11" x14ac:dyDescent="0.2">
      <c r="A190" s="262" t="s">
        <v>420</v>
      </c>
      <c r="B190" s="272">
        <f t="shared" si="3"/>
        <v>-25000</v>
      </c>
      <c r="C190" s="273">
        <f t="shared" si="3"/>
        <v>-30000</v>
      </c>
      <c r="D190" s="277">
        <f t="shared" si="3"/>
        <v>-31700</v>
      </c>
      <c r="E190" s="277">
        <f t="shared" si="3"/>
        <v>-33500</v>
      </c>
    </row>
    <row r="191" spans="1:11" x14ac:dyDescent="0.2">
      <c r="A191" s="262" t="s">
        <v>302</v>
      </c>
      <c r="B191" s="272">
        <f>B592</f>
        <v>-100000</v>
      </c>
      <c r="C191" s="273">
        <f>C592</f>
        <v>-110000</v>
      </c>
      <c r="D191" s="277">
        <f>D592</f>
        <v>-116400</v>
      </c>
      <c r="E191" s="277">
        <f>E592</f>
        <v>-123200</v>
      </c>
    </row>
    <row r="192" spans="1:11" x14ac:dyDescent="0.2">
      <c r="B192" s="272"/>
      <c r="C192" s="273"/>
      <c r="D192" s="277"/>
      <c r="E192" s="277"/>
    </row>
    <row r="193" spans="1:5" ht="12" thickBot="1" x14ac:dyDescent="0.25">
      <c r="A193" s="262" t="s">
        <v>86</v>
      </c>
      <c r="B193" s="274">
        <f>SUM(B188:B192)</f>
        <v>-287880</v>
      </c>
      <c r="C193" s="275">
        <f>SUM(C188:C192)</f>
        <v>-340000</v>
      </c>
      <c r="D193" s="289">
        <f>SUM(D188:D192)</f>
        <v>-424915</v>
      </c>
      <c r="E193" s="289">
        <f>SUM(E188:E192)</f>
        <v>-449600</v>
      </c>
    </row>
    <row r="194" spans="1:5" ht="12" thickTop="1" x14ac:dyDescent="0.2">
      <c r="C194" s="273"/>
      <c r="D194" s="277"/>
      <c r="E194" s="277"/>
    </row>
    <row r="195" spans="1:5" x14ac:dyDescent="0.2">
      <c r="A195" s="270" t="s">
        <v>123</v>
      </c>
      <c r="C195" s="273"/>
      <c r="D195" s="277"/>
      <c r="E195" s="277"/>
    </row>
    <row r="196" spans="1:5" x14ac:dyDescent="0.2">
      <c r="A196" s="262"/>
      <c r="C196" s="273"/>
      <c r="D196" s="277"/>
      <c r="E196" s="277"/>
    </row>
    <row r="197" spans="1:5" x14ac:dyDescent="0.2">
      <c r="A197" s="262" t="s">
        <v>132</v>
      </c>
      <c r="B197" s="272">
        <f t="shared" ref="B197:E198" si="4">B613</f>
        <v>0</v>
      </c>
      <c r="C197" s="273">
        <f t="shared" si="4"/>
        <v>0</v>
      </c>
      <c r="D197" s="277">
        <f t="shared" si="4"/>
        <v>0</v>
      </c>
      <c r="E197" s="277">
        <f t="shared" si="4"/>
        <v>0</v>
      </c>
    </row>
    <row r="198" spans="1:5" x14ac:dyDescent="0.2">
      <c r="A198" s="248" t="s">
        <v>315</v>
      </c>
      <c r="B198" s="272">
        <f t="shared" si="4"/>
        <v>-8381308</v>
      </c>
      <c r="C198" s="273">
        <f t="shared" si="4"/>
        <v>-8500000</v>
      </c>
      <c r="D198" s="277">
        <f t="shared" si="4"/>
        <v>-8993000</v>
      </c>
      <c r="E198" s="277">
        <f t="shared" si="4"/>
        <v>-8514600</v>
      </c>
    </row>
    <row r="199" spans="1:5" ht="12" thickBot="1" x14ac:dyDescent="0.25">
      <c r="A199" s="262" t="s">
        <v>124</v>
      </c>
      <c r="B199" s="291">
        <f>SUM(B197:B198)</f>
        <v>-8381308</v>
      </c>
      <c r="C199" s="275">
        <f>SUM(C197:C198)</f>
        <v>-8500000</v>
      </c>
      <c r="D199" s="291">
        <f t="shared" ref="D199:E199" si="5">SUM(D197:D198)</f>
        <v>-8993000</v>
      </c>
      <c r="E199" s="291">
        <f t="shared" si="5"/>
        <v>-8514600</v>
      </c>
    </row>
    <row r="200" spans="1:5" ht="12" thickTop="1" x14ac:dyDescent="0.2">
      <c r="C200" s="273"/>
      <c r="D200" s="277"/>
      <c r="E200" s="277"/>
    </row>
    <row r="201" spans="1:5" x14ac:dyDescent="0.2">
      <c r="A201" s="270" t="s">
        <v>226</v>
      </c>
      <c r="C201" s="273"/>
      <c r="D201" s="277"/>
      <c r="E201" s="277"/>
    </row>
    <row r="202" spans="1:5" x14ac:dyDescent="0.2">
      <c r="A202" s="262"/>
      <c r="C202" s="273"/>
      <c r="D202" s="277"/>
      <c r="E202" s="277"/>
    </row>
    <row r="203" spans="1:5" x14ac:dyDescent="0.2">
      <c r="A203" s="262" t="s">
        <v>125</v>
      </c>
      <c r="B203" s="272">
        <f>B619</f>
        <v>-800000</v>
      </c>
      <c r="C203" s="273">
        <f>C619</f>
        <v>-800000</v>
      </c>
      <c r="D203" s="277">
        <f>D619</f>
        <v>-846400</v>
      </c>
      <c r="E203" s="277">
        <f>E619</f>
        <v>-895500</v>
      </c>
    </row>
    <row r="204" spans="1:5" x14ac:dyDescent="0.2">
      <c r="A204" s="262" t="s">
        <v>391</v>
      </c>
      <c r="B204" s="272">
        <f t="shared" ref="B204:B205" si="6">B620</f>
        <v>0</v>
      </c>
      <c r="C204" s="273">
        <f t="shared" ref="C204:C205" si="7">C620</f>
        <v>0</v>
      </c>
      <c r="D204" s="277">
        <f>D620</f>
        <v>0</v>
      </c>
      <c r="E204" s="277">
        <f>E620</f>
        <v>0</v>
      </c>
    </row>
    <row r="205" spans="1:5" x14ac:dyDescent="0.2">
      <c r="A205" s="262" t="s">
        <v>421</v>
      </c>
      <c r="B205" s="272">
        <f t="shared" si="6"/>
        <v>-50000</v>
      </c>
      <c r="C205" s="273">
        <f t="shared" si="7"/>
        <v>-55000</v>
      </c>
      <c r="D205" s="277">
        <f>D621</f>
        <v>-58200</v>
      </c>
      <c r="E205" s="277">
        <f>E621</f>
        <v>-61600</v>
      </c>
    </row>
    <row r="206" spans="1:5" x14ac:dyDescent="0.2">
      <c r="A206" s="262" t="s">
        <v>331</v>
      </c>
      <c r="B206" s="272">
        <f t="shared" ref="B206" si="8">B622</f>
        <v>0</v>
      </c>
      <c r="C206" s="273">
        <f>C622</f>
        <v>0</v>
      </c>
      <c r="D206" s="277">
        <v>0</v>
      </c>
      <c r="E206" s="277">
        <v>0</v>
      </c>
    </row>
    <row r="207" spans="1:5" x14ac:dyDescent="0.2">
      <c r="A207" s="262" t="s">
        <v>402</v>
      </c>
      <c r="B207" s="272">
        <f>B623</f>
        <v>-130000</v>
      </c>
      <c r="C207" s="273">
        <f>C623</f>
        <v>-140000</v>
      </c>
      <c r="D207" s="277">
        <f>D623</f>
        <v>-148100</v>
      </c>
      <c r="E207" s="277">
        <f>E623</f>
        <v>-156700</v>
      </c>
    </row>
    <row r="208" spans="1:5" x14ac:dyDescent="0.2">
      <c r="A208" s="262" t="s">
        <v>422</v>
      </c>
      <c r="B208" s="272">
        <f>B624</f>
        <v>0</v>
      </c>
      <c r="C208" s="273"/>
      <c r="D208" s="277"/>
      <c r="E208" s="277"/>
    </row>
    <row r="209" spans="1:7" x14ac:dyDescent="0.2">
      <c r="A209" s="262" t="s">
        <v>387</v>
      </c>
      <c r="B209" s="272">
        <f t="shared" ref="B209" si="9">B625</f>
        <v>0</v>
      </c>
      <c r="C209" s="273">
        <f>C625</f>
        <v>0</v>
      </c>
      <c r="D209" s="277">
        <f>D625</f>
        <v>0</v>
      </c>
      <c r="E209" s="277">
        <f>E625</f>
        <v>0</v>
      </c>
    </row>
    <row r="210" spans="1:7" x14ac:dyDescent="0.2">
      <c r="A210" s="248" t="s">
        <v>316</v>
      </c>
      <c r="B210" s="292"/>
      <c r="C210" s="293"/>
      <c r="D210" s="294"/>
      <c r="E210" s="294"/>
    </row>
    <row r="211" spans="1:7" ht="12" thickBot="1" x14ac:dyDescent="0.25">
      <c r="A211" s="262" t="s">
        <v>227</v>
      </c>
      <c r="B211" s="274">
        <f>SUM(B203:B210)</f>
        <v>-980000</v>
      </c>
      <c r="C211" s="275">
        <f>SUM(C203:C210)</f>
        <v>-995000</v>
      </c>
      <c r="D211" s="289">
        <f>SUM(D203:D210)</f>
        <v>-1052700</v>
      </c>
      <c r="E211" s="289">
        <f>SUM(E203:E210)</f>
        <v>-1113800</v>
      </c>
    </row>
    <row r="212" spans="1:7" ht="12" thickTop="1" x14ac:dyDescent="0.2">
      <c r="B212" s="295"/>
      <c r="C212" s="293"/>
      <c r="D212" s="294"/>
      <c r="E212" s="294"/>
    </row>
    <row r="213" spans="1:7" x14ac:dyDescent="0.2">
      <c r="A213" s="270" t="s">
        <v>206</v>
      </c>
      <c r="B213" s="280"/>
      <c r="C213" s="281"/>
      <c r="D213" s="296"/>
      <c r="E213" s="296"/>
    </row>
    <row r="214" spans="1:7" ht="12.75" x14ac:dyDescent="0.2">
      <c r="A214" s="297" t="s">
        <v>204</v>
      </c>
      <c r="B214" s="272">
        <f t="shared" ref="B214" si="10">B598</f>
        <v>-66055000</v>
      </c>
      <c r="C214" s="273">
        <f t="shared" ref="C214:D215" si="11">C598</f>
        <v>-70003000</v>
      </c>
      <c r="D214" s="271">
        <f t="shared" si="11"/>
        <v>-74154000</v>
      </c>
      <c r="E214" s="271">
        <f t="shared" ref="E214" si="12">E598</f>
        <v>-77137000</v>
      </c>
    </row>
    <row r="215" spans="1:7" ht="12.75" x14ac:dyDescent="0.2">
      <c r="A215" s="297" t="s">
        <v>95</v>
      </c>
      <c r="B215" s="272">
        <f t="shared" ref="B215" si="13">B599</f>
        <v>-155605000</v>
      </c>
      <c r="C215" s="273">
        <f t="shared" si="11"/>
        <v>-159687000</v>
      </c>
      <c r="D215" s="271">
        <f t="shared" si="11"/>
        <v>-164557000</v>
      </c>
      <c r="E215" s="271">
        <f t="shared" ref="E215" si="14">E599</f>
        <v>-169394000</v>
      </c>
    </row>
    <row r="216" spans="1:7" ht="12.75" x14ac:dyDescent="0.2">
      <c r="A216" s="297" t="s">
        <v>131</v>
      </c>
      <c r="B216" s="272">
        <f t="shared" ref="B216" si="15">B600</f>
        <v>-1500000</v>
      </c>
      <c r="C216" s="273">
        <f t="shared" ref="C216:D217" si="16">C600</f>
        <v>-1500000</v>
      </c>
      <c r="D216" s="271">
        <f t="shared" si="16"/>
        <v>-1250000</v>
      </c>
      <c r="E216" s="271">
        <f t="shared" ref="E216" si="17">E600</f>
        <v>-1250000</v>
      </c>
    </row>
    <row r="217" spans="1:7" ht="12.75" x14ac:dyDescent="0.2">
      <c r="A217" s="297" t="s">
        <v>205</v>
      </c>
      <c r="B217" s="272">
        <f t="shared" ref="B217" si="18">B601</f>
        <v>-1041000</v>
      </c>
      <c r="C217" s="273">
        <f t="shared" si="16"/>
        <v>-1637000</v>
      </c>
      <c r="D217" s="271">
        <f t="shared" si="16"/>
        <v>0</v>
      </c>
      <c r="E217" s="271">
        <f t="shared" ref="E217" si="19">E601</f>
        <v>0</v>
      </c>
    </row>
    <row r="218" spans="1:7" ht="12.75" x14ac:dyDescent="0.2">
      <c r="A218" s="297" t="s">
        <v>299</v>
      </c>
      <c r="B218" s="272">
        <f>B602</f>
        <v>-2274000</v>
      </c>
      <c r="C218" s="273">
        <f>C602</f>
        <v>-4355000</v>
      </c>
      <c r="D218" s="271"/>
      <c r="E218" s="271"/>
    </row>
    <row r="219" spans="1:7" ht="12" thickBot="1" x14ac:dyDescent="0.25">
      <c r="A219" s="262"/>
      <c r="B219" s="274">
        <f>SUM(B214:B218)</f>
        <v>-226475000</v>
      </c>
      <c r="C219" s="275">
        <f>SUM(C214:C218)</f>
        <v>-237182000</v>
      </c>
      <c r="D219" s="289">
        <f>SUM(D214:D217)</f>
        <v>-239961000</v>
      </c>
      <c r="E219" s="289">
        <f>SUM(E214:E217)</f>
        <v>-247781000</v>
      </c>
      <c r="G219" s="298"/>
    </row>
    <row r="220" spans="1:7" ht="12" thickTop="1" x14ac:dyDescent="0.2">
      <c r="A220" s="262"/>
      <c r="B220" s="280"/>
      <c r="C220" s="281"/>
      <c r="D220" s="296"/>
      <c r="E220" s="296"/>
      <c r="G220" s="298"/>
    </row>
    <row r="221" spans="1:7" x14ac:dyDescent="0.2">
      <c r="A221" s="270" t="s">
        <v>529</v>
      </c>
      <c r="B221" s="280"/>
      <c r="C221" s="281"/>
      <c r="D221" s="296"/>
      <c r="E221" s="296"/>
      <c r="G221" s="298"/>
    </row>
    <row r="222" spans="1:7" x14ac:dyDescent="0.2">
      <c r="A222" s="262"/>
      <c r="B222" s="280"/>
      <c r="C222" s="281"/>
      <c r="D222" s="280"/>
      <c r="E222" s="280"/>
      <c r="G222" s="298"/>
    </row>
    <row r="223" spans="1:7" x14ac:dyDescent="0.2">
      <c r="A223" s="262" t="s">
        <v>531</v>
      </c>
      <c r="B223" s="284">
        <f>B607</f>
        <v>-400000</v>
      </c>
      <c r="C223" s="281">
        <f>C607</f>
        <v>0</v>
      </c>
      <c r="D223" s="280">
        <f>D607</f>
        <v>0</v>
      </c>
      <c r="E223" s="280">
        <f>E607</f>
        <v>0</v>
      </c>
      <c r="G223" s="298"/>
    </row>
    <row r="224" spans="1:7" x14ac:dyDescent="0.2">
      <c r="A224" s="262"/>
      <c r="B224" s="284"/>
      <c r="C224" s="281"/>
      <c r="D224" s="280"/>
      <c r="E224" s="280"/>
      <c r="G224" s="298"/>
    </row>
    <row r="225" spans="1:7" ht="12" thickBot="1" x14ac:dyDescent="0.25">
      <c r="A225" s="270" t="s">
        <v>532</v>
      </c>
      <c r="B225" s="274">
        <f>SUM(B223:B224)</f>
        <v>-400000</v>
      </c>
      <c r="C225" s="275">
        <f>SUM(C223:C224)</f>
        <v>0</v>
      </c>
      <c r="D225" s="276">
        <f>SUM(D223:D224)</f>
        <v>0</v>
      </c>
      <c r="E225" s="276">
        <f>SUM(E223:E224)</f>
        <v>0</v>
      </c>
      <c r="G225" s="298"/>
    </row>
    <row r="226" spans="1:7" ht="12" thickTop="1" x14ac:dyDescent="0.2">
      <c r="B226" s="295"/>
      <c r="C226" s="293"/>
      <c r="D226" s="294"/>
      <c r="E226" s="294"/>
      <c r="G226" s="298"/>
    </row>
    <row r="227" spans="1:7" x14ac:dyDescent="0.2">
      <c r="A227" s="262" t="s">
        <v>93</v>
      </c>
      <c r="B227" s="272">
        <f>B211+B199+B193+B219+B225+B239</f>
        <v>-238482188</v>
      </c>
      <c r="C227" s="273">
        <f>C211+C199+C193+C219+C225+C239</f>
        <v>-249364000</v>
      </c>
      <c r="D227" s="271">
        <f>D211+D199+D193+D219+D225+D239</f>
        <v>-252906615</v>
      </c>
      <c r="E227" s="271">
        <f>E211+E199+E193+E219+E225+E239</f>
        <v>-260473000</v>
      </c>
    </row>
    <row r="228" spans="1:7" x14ac:dyDescent="0.2">
      <c r="B228" s="272"/>
      <c r="C228" s="273"/>
      <c r="D228" s="277"/>
      <c r="E228" s="277"/>
    </row>
    <row r="229" spans="1:7" ht="12" thickBot="1" x14ac:dyDescent="0.25">
      <c r="A229" s="262" t="s">
        <v>96</v>
      </c>
      <c r="B229" s="274">
        <f>B227+B182</f>
        <v>-26612515</v>
      </c>
      <c r="C229" s="275">
        <f>C227+C182</f>
        <v>-15902673.324224979</v>
      </c>
      <c r="D229" s="276">
        <f>D227+D182</f>
        <v>-13983028</v>
      </c>
      <c r="E229" s="276">
        <f>E227+E182</f>
        <v>-7346287</v>
      </c>
    </row>
    <row r="230" spans="1:7" ht="12" thickTop="1" x14ac:dyDescent="0.2">
      <c r="B230" s="271">
        <v>0</v>
      </c>
      <c r="C230" s="273"/>
      <c r="D230" s="277"/>
      <c r="E230" s="277"/>
    </row>
    <row r="231" spans="1:7" x14ac:dyDescent="0.2">
      <c r="A231" s="278" t="s">
        <v>94</v>
      </c>
      <c r="C231" s="273"/>
      <c r="D231" s="277"/>
      <c r="E231" s="277"/>
    </row>
    <row r="232" spans="1:7" x14ac:dyDescent="0.2">
      <c r="C232" s="273"/>
      <c r="D232" s="277"/>
      <c r="E232" s="277"/>
    </row>
    <row r="233" spans="1:7" ht="12.75" x14ac:dyDescent="0.2">
      <c r="A233" s="297" t="s">
        <v>299</v>
      </c>
      <c r="B233" s="272">
        <f>B637</f>
        <v>0</v>
      </c>
      <c r="C233" s="273">
        <f>C637</f>
        <v>0</v>
      </c>
      <c r="D233" s="277">
        <v>0</v>
      </c>
      <c r="E233" s="277">
        <v>0</v>
      </c>
    </row>
    <row r="234" spans="1:7" ht="12.75" x14ac:dyDescent="0.2">
      <c r="A234" s="297" t="s">
        <v>405</v>
      </c>
      <c r="B234" s="272">
        <f t="shared" ref="B234:E236" si="20">B639</f>
        <v>-1958000</v>
      </c>
      <c r="C234" s="273">
        <f t="shared" si="20"/>
        <v>-2347000</v>
      </c>
      <c r="D234" s="272">
        <f t="shared" si="20"/>
        <v>-2475000</v>
      </c>
      <c r="E234" s="272">
        <f t="shared" si="20"/>
        <v>-2614000</v>
      </c>
    </row>
    <row r="235" spans="1:7" ht="12.75" x14ac:dyDescent="0.2">
      <c r="A235" s="297" t="s">
        <v>482</v>
      </c>
      <c r="B235" s="272">
        <f t="shared" si="20"/>
        <v>0</v>
      </c>
      <c r="C235" s="273">
        <f t="shared" si="20"/>
        <v>0</v>
      </c>
      <c r="D235" s="272">
        <f t="shared" si="20"/>
        <v>0</v>
      </c>
      <c r="E235" s="272">
        <f t="shared" si="20"/>
        <v>0</v>
      </c>
    </row>
    <row r="236" spans="1:7" ht="12.75" x14ac:dyDescent="0.2">
      <c r="A236" s="297" t="s">
        <v>406</v>
      </c>
      <c r="B236" s="272">
        <f t="shared" si="20"/>
        <v>0</v>
      </c>
      <c r="C236" s="273">
        <f t="shared" si="20"/>
        <v>0</v>
      </c>
      <c r="D236" s="277"/>
      <c r="E236" s="277"/>
    </row>
    <row r="237" spans="1:7" ht="12.75" x14ac:dyDescent="0.2">
      <c r="A237" s="297" t="s">
        <v>280</v>
      </c>
      <c r="B237" s="272"/>
      <c r="C237" s="273"/>
      <c r="D237" s="277"/>
      <c r="E237" s="277"/>
    </row>
    <row r="238" spans="1:7" ht="12.75" x14ac:dyDescent="0.2">
      <c r="A238" s="297" t="s">
        <v>470</v>
      </c>
      <c r="B238" s="279">
        <f>B642</f>
        <v>0</v>
      </c>
      <c r="C238" s="273">
        <f>C642</f>
        <v>0</v>
      </c>
      <c r="D238" s="279">
        <f>D642</f>
        <v>0</v>
      </c>
      <c r="E238" s="279">
        <f>E642</f>
        <v>0</v>
      </c>
    </row>
    <row r="239" spans="1:7" ht="13.5" thickBot="1" x14ac:dyDescent="0.25">
      <c r="A239" s="297"/>
      <c r="B239" s="274">
        <f>SUM(B233:B238)</f>
        <v>-1958000</v>
      </c>
      <c r="C239" s="275">
        <f>SUM(C233:C238)</f>
        <v>-2347000</v>
      </c>
      <c r="D239" s="291">
        <f t="shared" ref="D239:E239" si="21">SUM(D233:D238)</f>
        <v>-2475000</v>
      </c>
      <c r="E239" s="291">
        <f t="shared" si="21"/>
        <v>-2614000</v>
      </c>
    </row>
    <row r="240" spans="1:7" ht="12" thickTop="1" x14ac:dyDescent="0.2">
      <c r="C240" s="273"/>
      <c r="D240" s="277"/>
      <c r="E240" s="277"/>
    </row>
    <row r="241" spans="1:5" x14ac:dyDescent="0.2">
      <c r="A241" s="270" t="s">
        <v>213</v>
      </c>
      <c r="C241" s="273"/>
      <c r="D241" s="277"/>
      <c r="E241" s="277"/>
    </row>
    <row r="242" spans="1:5" x14ac:dyDescent="0.2">
      <c r="A242" s="262"/>
      <c r="C242" s="273"/>
      <c r="D242" s="277"/>
      <c r="E242" s="277"/>
    </row>
    <row r="243" spans="1:5" x14ac:dyDescent="0.2">
      <c r="A243" s="262" t="s">
        <v>250</v>
      </c>
      <c r="B243" s="272">
        <f>SUMIF($A$252:$A$1259,"CTCO: OFFICE MACHINES &amp; EQUIPMENT",B$252:B$1259)</f>
        <v>0</v>
      </c>
      <c r="C243" s="273">
        <f>SUMIF($A$252:$A$1259,"CTCO: OFFICE MACHINES &amp; EQUIPMENT",C$252:C$1259)</f>
        <v>0</v>
      </c>
      <c r="D243" s="271">
        <f>SUMIF($A$252:$A$1259,"CTCO: OFFICE MACHINES &amp; EQUIPMENT",D$252:D$1259)</f>
        <v>0</v>
      </c>
      <c r="E243" s="271">
        <f>SUMIF($A$252:$A$1259,"CTCO: OFFICE MACHINES &amp; EQUIPMENT",E$252:E$1259)</f>
        <v>0</v>
      </c>
    </row>
    <row r="244" spans="1:5" x14ac:dyDescent="0.2">
      <c r="A244" s="262" t="s">
        <v>251</v>
      </c>
      <c r="B244" s="272">
        <f>SUMIF($A$252:$A$1259,"CTCO: OFFICE FURNITURE &amp; EQUIPMENT",B$252:B$1259)</f>
        <v>0</v>
      </c>
      <c r="C244" s="273">
        <f>SUMIF($A$252:$A$1259,"CTCO: OFFICE FURNITURE &amp; EQUIPMENT",C$252:C$1259)</f>
        <v>0</v>
      </c>
      <c r="D244" s="271">
        <f>SUMIF($A$252:$A$1259,"CTCO: OFFICE FURNITURE &amp; EQUIPMENT",D$252:D$1259)</f>
        <v>0</v>
      </c>
      <c r="E244" s="271">
        <f>SUMIF($A$252:$A$1259,"CTCO: OFFICE FURNITURE &amp; EQUIPMENT",E$252:E$1259)</f>
        <v>0</v>
      </c>
    </row>
    <row r="245" spans="1:5" x14ac:dyDescent="0.2">
      <c r="A245" s="262" t="s">
        <v>252</v>
      </c>
      <c r="B245" s="272">
        <f>SUMIF($A$252:$A$1259,"CTCO: VEHICLES",B$252:B$1259)</f>
        <v>0</v>
      </c>
      <c r="C245" s="273">
        <f>SUMIF($A$252:$A$1259,"CTCO: VEHICLES",C$252:C$1259)</f>
        <v>0</v>
      </c>
      <c r="D245" s="271">
        <f>SUMIF($A$252:$A$1259,"CTCO: VEHICLES",D$252:D$1259)</f>
        <v>0</v>
      </c>
      <c r="E245" s="271">
        <f>SUMIF($A$252:$A$1259,"CTCO: VEHICLES",E$252:E$1259)</f>
        <v>0</v>
      </c>
    </row>
    <row r="246" spans="1:5" x14ac:dyDescent="0.2">
      <c r="A246" s="248" t="s">
        <v>83</v>
      </c>
      <c r="B246" s="272">
        <f>SUMIF($A$252:$A$1259,"CTCO: TOOLS AND EQUIPMENT",B$252:B$1259)</f>
        <v>0</v>
      </c>
      <c r="C246" s="273">
        <f>SUMIF($A$252:$A$1259,"CTCO: TOOLS AND EQUIPMENT",C$252:C$1259)</f>
        <v>0</v>
      </c>
      <c r="D246" s="271">
        <f>SUMIF($A$252:$A$1259,"CTCO: TOOLS AND EQUIPMENT",D$252:D$1259)</f>
        <v>0</v>
      </c>
      <c r="E246" s="271">
        <f>SUMIF($A$252:$A$1259,"CTCO: TOOLS AND EQUIPMENT",E$252:E$1259)</f>
        <v>0</v>
      </c>
    </row>
    <row r="247" spans="1:5" ht="12" thickBot="1" x14ac:dyDescent="0.25">
      <c r="A247" s="262" t="s">
        <v>129</v>
      </c>
      <c r="B247" s="274">
        <f>SUM(B243:B246)</f>
        <v>0</v>
      </c>
      <c r="C247" s="275">
        <f>SUM(C243:C246)</f>
        <v>0</v>
      </c>
      <c r="D247" s="276">
        <f>SUM(D243:D246)</f>
        <v>0</v>
      </c>
      <c r="E247" s="276">
        <f>SUM(E243:E246)</f>
        <v>0</v>
      </c>
    </row>
    <row r="248" spans="1:5" ht="12" thickTop="1" x14ac:dyDescent="0.2">
      <c r="A248" s="262"/>
      <c r="B248" s="280"/>
      <c r="C248" s="281"/>
      <c r="D248" s="280"/>
      <c r="E248" s="280"/>
    </row>
    <row r="249" spans="1:5" x14ac:dyDescent="0.2">
      <c r="A249" s="262"/>
      <c r="B249" s="263" t="s">
        <v>522</v>
      </c>
      <c r="C249" s="333" t="s">
        <v>522</v>
      </c>
      <c r="D249" s="277"/>
      <c r="E249" s="277"/>
    </row>
    <row r="250" spans="1:5" x14ac:dyDescent="0.2">
      <c r="A250" s="262"/>
      <c r="B250" s="263" t="str">
        <f t="shared" ref="B250:E251" si="22">B8</f>
        <v xml:space="preserve"> Budget</v>
      </c>
      <c r="C250" s="299" t="str">
        <f t="shared" si="22"/>
        <v>Budget</v>
      </c>
      <c r="D250" s="300" t="str">
        <f t="shared" si="22"/>
        <v>Budget</v>
      </c>
      <c r="E250" s="300" t="str">
        <f t="shared" si="22"/>
        <v>Budget</v>
      </c>
    </row>
    <row r="251" spans="1:5" x14ac:dyDescent="0.2">
      <c r="B251" s="263" t="str">
        <f t="shared" si="22"/>
        <v>2016/2017</v>
      </c>
      <c r="C251" s="299" t="str">
        <f t="shared" si="22"/>
        <v>2017/2018</v>
      </c>
      <c r="D251" s="300" t="str">
        <f t="shared" si="22"/>
        <v>2018/2019</v>
      </c>
      <c r="E251" s="300" t="str">
        <f t="shared" si="22"/>
        <v>2019/2020</v>
      </c>
    </row>
    <row r="252" spans="1:5" x14ac:dyDescent="0.2">
      <c r="A252" s="262"/>
      <c r="C252" s="273"/>
      <c r="D252" s="277"/>
      <c r="E252" s="277"/>
    </row>
    <row r="253" spans="1:5" ht="15.75" x14ac:dyDescent="0.25">
      <c r="A253" s="269" t="s">
        <v>219</v>
      </c>
      <c r="C253" s="273"/>
      <c r="D253" s="277"/>
      <c r="E253" s="277"/>
    </row>
    <row r="254" spans="1:5" x14ac:dyDescent="0.2">
      <c r="A254" s="262"/>
      <c r="C254" s="273"/>
      <c r="D254" s="277"/>
      <c r="E254" s="277"/>
    </row>
    <row r="255" spans="1:5" x14ac:dyDescent="0.2">
      <c r="A255" s="270" t="s">
        <v>208</v>
      </c>
      <c r="C255" s="273"/>
      <c r="D255" s="277"/>
      <c r="E255" s="277"/>
    </row>
    <row r="256" spans="1:5" x14ac:dyDescent="0.2">
      <c r="A256" s="262"/>
      <c r="C256" s="273"/>
      <c r="D256" s="277"/>
      <c r="E256" s="277"/>
    </row>
    <row r="257" spans="1:5" x14ac:dyDescent="0.2">
      <c r="A257" s="262" t="s">
        <v>161</v>
      </c>
      <c r="B257" s="272">
        <v>1287398</v>
      </c>
      <c r="C257" s="273">
        <f>REMUNERATION!F21</f>
        <v>1013435.5200000001</v>
      </c>
      <c r="D257" s="277">
        <f t="shared" ref="D257:D267" si="23">ROUND(+C257*(1+D$1),-2)</f>
        <v>1072200</v>
      </c>
      <c r="E257" s="277">
        <f t="shared" ref="E257:E267" si="24">ROUND(+D257*(1+E$1),-2)</f>
        <v>1134400</v>
      </c>
    </row>
    <row r="258" spans="1:5" x14ac:dyDescent="0.2">
      <c r="A258" s="283" t="s">
        <v>195</v>
      </c>
      <c r="B258" s="272">
        <v>107283</v>
      </c>
      <c r="C258" s="273">
        <f>REMUNERATION!N21</f>
        <v>84452.96</v>
      </c>
      <c r="D258" s="277">
        <f t="shared" si="23"/>
        <v>89400</v>
      </c>
      <c r="E258" s="277">
        <f t="shared" si="24"/>
        <v>94600</v>
      </c>
    </row>
    <row r="259" spans="1:5" x14ac:dyDescent="0.2">
      <c r="A259" s="262" t="s">
        <v>157</v>
      </c>
      <c r="B259" s="272">
        <v>0</v>
      </c>
      <c r="C259" s="273"/>
      <c r="D259" s="277">
        <f t="shared" si="23"/>
        <v>0</v>
      </c>
      <c r="E259" s="277">
        <f t="shared" si="24"/>
        <v>0</v>
      </c>
    </row>
    <row r="260" spans="1:5" x14ac:dyDescent="0.2">
      <c r="A260" s="262" t="s">
        <v>162</v>
      </c>
      <c r="B260" s="272">
        <v>33600</v>
      </c>
      <c r="C260" s="273">
        <f>REMUNERATION!I21</f>
        <v>16800</v>
      </c>
      <c r="D260" s="277">
        <f t="shared" si="23"/>
        <v>17800</v>
      </c>
      <c r="E260" s="277">
        <f t="shared" si="24"/>
        <v>18800</v>
      </c>
    </row>
    <row r="261" spans="1:5" x14ac:dyDescent="0.2">
      <c r="A261" s="262" t="s">
        <v>163</v>
      </c>
      <c r="B261" s="272">
        <v>192215</v>
      </c>
      <c r="C261" s="273">
        <f>REMUNERATION!H21</f>
        <v>99407.28</v>
      </c>
      <c r="D261" s="277">
        <f t="shared" si="23"/>
        <v>105200</v>
      </c>
      <c r="E261" s="277">
        <f t="shared" si="24"/>
        <v>111300</v>
      </c>
    </row>
    <row r="262" spans="1:5" x14ac:dyDescent="0.2">
      <c r="A262" s="262" t="s">
        <v>164</v>
      </c>
      <c r="B262" s="272">
        <v>104800</v>
      </c>
      <c r="C262" s="273">
        <f>REMUNERATION!E20</f>
        <v>104800</v>
      </c>
      <c r="D262" s="277">
        <f t="shared" si="23"/>
        <v>110900</v>
      </c>
      <c r="E262" s="277">
        <f t="shared" si="24"/>
        <v>117300</v>
      </c>
    </row>
    <row r="263" spans="1:5" x14ac:dyDescent="0.2">
      <c r="A263" s="262" t="s">
        <v>133</v>
      </c>
      <c r="B263" s="272">
        <v>283227</v>
      </c>
      <c r="C263" s="273">
        <f>REMUNERATION!G21</f>
        <v>222955.81440000003</v>
      </c>
      <c r="D263" s="277">
        <f t="shared" si="23"/>
        <v>235900</v>
      </c>
      <c r="E263" s="277">
        <f t="shared" si="24"/>
        <v>249600</v>
      </c>
    </row>
    <row r="264" spans="1:5" x14ac:dyDescent="0.2">
      <c r="A264" s="262" t="s">
        <v>165</v>
      </c>
      <c r="B264" s="272">
        <v>248520</v>
      </c>
      <c r="C264" s="273">
        <f>REMUNERATION!K21</f>
        <v>154800</v>
      </c>
      <c r="D264" s="277">
        <f t="shared" si="23"/>
        <v>163800</v>
      </c>
      <c r="E264" s="277">
        <f t="shared" si="24"/>
        <v>173300</v>
      </c>
    </row>
    <row r="265" spans="1:5" x14ac:dyDescent="0.2">
      <c r="A265" s="262" t="s">
        <v>166</v>
      </c>
      <c r="B265" s="272">
        <v>7704</v>
      </c>
      <c r="C265" s="273">
        <f>REMUNERATION!J21</f>
        <v>3852</v>
      </c>
      <c r="D265" s="277">
        <f t="shared" si="23"/>
        <v>4100</v>
      </c>
      <c r="E265" s="277">
        <f t="shared" si="24"/>
        <v>4300</v>
      </c>
    </row>
    <row r="266" spans="1:5" x14ac:dyDescent="0.2">
      <c r="A266" s="262" t="s">
        <v>167</v>
      </c>
      <c r="B266" s="272">
        <v>16768</v>
      </c>
      <c r="C266" s="273">
        <f>REMUNERATION!M21</f>
        <v>12694.884800000003</v>
      </c>
      <c r="D266" s="277">
        <v>19700</v>
      </c>
      <c r="E266" s="277">
        <f t="shared" si="24"/>
        <v>20800</v>
      </c>
    </row>
    <row r="267" spans="1:5" x14ac:dyDescent="0.2">
      <c r="A267" s="262" t="s">
        <v>168</v>
      </c>
      <c r="B267" s="272">
        <v>372</v>
      </c>
      <c r="C267" s="273">
        <f>REMUNERATION!L21</f>
        <v>186</v>
      </c>
      <c r="D267" s="277">
        <f t="shared" si="23"/>
        <v>200</v>
      </c>
      <c r="E267" s="277">
        <f t="shared" si="24"/>
        <v>200</v>
      </c>
    </row>
    <row r="268" spans="1:5" x14ac:dyDescent="0.2">
      <c r="A268" s="283" t="s">
        <v>4</v>
      </c>
      <c r="B268" s="272">
        <v>0</v>
      </c>
      <c r="C268" s="273">
        <v>0</v>
      </c>
      <c r="D268" s="277"/>
      <c r="E268" s="277"/>
    </row>
    <row r="269" spans="1:5" ht="12" thickBot="1" x14ac:dyDescent="0.25">
      <c r="A269" s="262" t="s">
        <v>209</v>
      </c>
      <c r="B269" s="274">
        <f>SUM(B257:B268)</f>
        <v>2281887</v>
      </c>
      <c r="C269" s="275">
        <f>SUM(C257:C268)</f>
        <v>1713384.4592000004</v>
      </c>
      <c r="D269" s="289">
        <f>SUM(D257:D267)</f>
        <v>1819200</v>
      </c>
      <c r="E269" s="289">
        <f>SUM(E257:E267)</f>
        <v>1924600</v>
      </c>
    </row>
    <row r="270" spans="1:5" ht="12" thickTop="1" x14ac:dyDescent="0.2">
      <c r="C270" s="273"/>
      <c r="D270" s="277"/>
      <c r="E270" s="277"/>
    </row>
    <row r="271" spans="1:5" x14ac:dyDescent="0.2">
      <c r="A271" s="278" t="s">
        <v>97</v>
      </c>
      <c r="C271" s="273"/>
      <c r="D271" s="277"/>
      <c r="E271" s="277"/>
    </row>
    <row r="272" spans="1:5" x14ac:dyDescent="0.2">
      <c r="A272" s="262"/>
      <c r="C272" s="273"/>
      <c r="D272" s="277"/>
      <c r="E272" s="277"/>
    </row>
    <row r="273" spans="1:6" x14ac:dyDescent="0.2">
      <c r="A273" s="262" t="s">
        <v>223</v>
      </c>
      <c r="B273" s="272">
        <v>588905</v>
      </c>
      <c r="C273" s="273">
        <f>'COUNCILLORS REMUNERATION'!F15</f>
        <v>611954.4</v>
      </c>
      <c r="D273" s="277">
        <f t="shared" ref="D273:D278" si="25">ROUND(+C273*(1+D$1),-2)</f>
        <v>647400</v>
      </c>
      <c r="E273" s="277">
        <f t="shared" ref="E273:E275" si="26">ROUND(+D273*(1+E$1),-2)</f>
        <v>684900</v>
      </c>
      <c r="F273" s="301"/>
    </row>
    <row r="274" spans="1:6" x14ac:dyDescent="0.2">
      <c r="A274" s="262" t="s">
        <v>224</v>
      </c>
      <c r="B274" s="272">
        <v>230484</v>
      </c>
      <c r="C274" s="273">
        <f>'COUNCILLORS REMUNERATION'!L15</f>
        <v>230472</v>
      </c>
      <c r="D274" s="277">
        <f t="shared" si="25"/>
        <v>243800</v>
      </c>
      <c r="E274" s="277">
        <f t="shared" si="26"/>
        <v>257900</v>
      </c>
    </row>
    <row r="275" spans="1:6" x14ac:dyDescent="0.2">
      <c r="A275" s="262" t="s">
        <v>225</v>
      </c>
      <c r="B275" s="272">
        <v>104863</v>
      </c>
      <c r="C275" s="273">
        <f>'COUNCILLORS REMUNERATION'!K15</f>
        <v>8400</v>
      </c>
      <c r="D275" s="277">
        <f t="shared" si="25"/>
        <v>8900</v>
      </c>
      <c r="E275" s="277">
        <f t="shared" si="26"/>
        <v>9400</v>
      </c>
    </row>
    <row r="276" spans="1:6" x14ac:dyDescent="0.2">
      <c r="A276" s="262" t="s">
        <v>103</v>
      </c>
      <c r="B276" s="272">
        <v>28800</v>
      </c>
      <c r="C276" s="273">
        <f>'COUNCILLORS REMUNERATION'!G15</f>
        <v>20868</v>
      </c>
      <c r="D276" s="277">
        <f t="shared" si="25"/>
        <v>22100</v>
      </c>
      <c r="E276" s="277">
        <f t="shared" ref="E276:E278" si="27">ROUND(+D276*(1+E$1),-2)</f>
        <v>23400</v>
      </c>
    </row>
    <row r="277" spans="1:6" x14ac:dyDescent="0.2">
      <c r="A277" s="262" t="s">
        <v>148</v>
      </c>
      <c r="B277" s="272">
        <v>46452</v>
      </c>
      <c r="C277" s="273">
        <f>'COUNCILLORS REMUNERATION'!J15</f>
        <v>49703.64</v>
      </c>
      <c r="D277" s="277">
        <f t="shared" si="25"/>
        <v>52600</v>
      </c>
      <c r="E277" s="277">
        <f t="shared" si="27"/>
        <v>55700</v>
      </c>
    </row>
    <row r="278" spans="1:6" x14ac:dyDescent="0.2">
      <c r="A278" s="262" t="s">
        <v>153</v>
      </c>
      <c r="B278" s="272">
        <v>85104</v>
      </c>
      <c r="C278" s="273">
        <f>'COUNCILLORS REMUNERATION'!I15</f>
        <v>78636</v>
      </c>
      <c r="D278" s="277">
        <f t="shared" si="25"/>
        <v>83200</v>
      </c>
      <c r="E278" s="277">
        <f t="shared" si="27"/>
        <v>88000</v>
      </c>
    </row>
    <row r="279" spans="1:6" ht="12" thickBot="1" x14ac:dyDescent="0.25">
      <c r="A279" s="262"/>
      <c r="B279" s="274">
        <f>SUM(B273:B278)</f>
        <v>1084608</v>
      </c>
      <c r="C279" s="275">
        <f>SUM(C273:C278)</f>
        <v>1000034.04</v>
      </c>
      <c r="D279" s="289">
        <f>SUM(D273:D278)</f>
        <v>1058000</v>
      </c>
      <c r="E279" s="289">
        <f>SUM(E273:E278)</f>
        <v>1119300</v>
      </c>
    </row>
    <row r="280" spans="1:6" ht="12" thickTop="1" x14ac:dyDescent="0.2">
      <c r="A280" s="270" t="s">
        <v>203</v>
      </c>
      <c r="C280" s="273"/>
      <c r="D280" s="277"/>
      <c r="E280" s="277"/>
    </row>
    <row r="281" spans="1:6" x14ac:dyDescent="0.2">
      <c r="A281" s="270"/>
      <c r="C281" s="273"/>
      <c r="D281" s="277"/>
      <c r="E281" s="277"/>
    </row>
    <row r="282" spans="1:6" x14ac:dyDescent="0.2">
      <c r="A282" s="262" t="s">
        <v>231</v>
      </c>
      <c r="B282" s="272">
        <v>1500000</v>
      </c>
      <c r="C282" s="273">
        <v>1000000</v>
      </c>
      <c r="D282" s="277">
        <f t="shared" ref="D282:D289" si="28">ROUND(+C282*(1+D$1),-2)</f>
        <v>1058000</v>
      </c>
      <c r="E282" s="277">
        <f t="shared" ref="E282:E284" si="29">ROUND(+D282*(1+E$1),-2)</f>
        <v>1119400</v>
      </c>
    </row>
    <row r="283" spans="1:6" x14ac:dyDescent="0.2">
      <c r="A283" s="262" t="s">
        <v>141</v>
      </c>
      <c r="B283" s="279">
        <v>44435</v>
      </c>
      <c r="C283" s="273">
        <v>44435</v>
      </c>
      <c r="D283" s="277">
        <f t="shared" si="28"/>
        <v>47000</v>
      </c>
      <c r="E283" s="277">
        <f t="shared" si="29"/>
        <v>49700</v>
      </c>
    </row>
    <row r="284" spans="1:6" x14ac:dyDescent="0.2">
      <c r="A284" s="262" t="s">
        <v>158</v>
      </c>
      <c r="B284" s="272">
        <v>0</v>
      </c>
      <c r="C284" s="273">
        <v>0</v>
      </c>
      <c r="D284" s="277">
        <f t="shared" si="28"/>
        <v>0</v>
      </c>
      <c r="E284" s="277">
        <f t="shared" si="29"/>
        <v>0</v>
      </c>
    </row>
    <row r="285" spans="1:6" x14ac:dyDescent="0.2">
      <c r="A285" s="262" t="s">
        <v>261</v>
      </c>
      <c r="B285" s="272">
        <v>0</v>
      </c>
      <c r="C285" s="273">
        <v>0</v>
      </c>
      <c r="D285" s="277">
        <f t="shared" si="28"/>
        <v>0</v>
      </c>
      <c r="E285" s="277">
        <f t="shared" ref="E285:E289" si="30">ROUND(+D285*(1+E$1),-2)</f>
        <v>0</v>
      </c>
    </row>
    <row r="286" spans="1:6" x14ac:dyDescent="0.2">
      <c r="A286" s="262" t="s">
        <v>159</v>
      </c>
      <c r="B286" s="272">
        <v>35771</v>
      </c>
      <c r="C286" s="273">
        <v>35771</v>
      </c>
      <c r="D286" s="277">
        <f t="shared" si="28"/>
        <v>37800</v>
      </c>
      <c r="E286" s="277">
        <f t="shared" si="30"/>
        <v>40000</v>
      </c>
    </row>
    <row r="287" spans="1:6" x14ac:dyDescent="0.2">
      <c r="A287" s="262" t="s">
        <v>265</v>
      </c>
      <c r="B287" s="272">
        <v>9376</v>
      </c>
      <c r="C287" s="273">
        <v>0</v>
      </c>
      <c r="D287" s="277">
        <f t="shared" si="28"/>
        <v>0</v>
      </c>
      <c r="E287" s="277">
        <f t="shared" si="30"/>
        <v>0</v>
      </c>
    </row>
    <row r="288" spans="1:6" x14ac:dyDescent="0.2">
      <c r="A288" s="262" t="s">
        <v>155</v>
      </c>
      <c r="B288" s="272">
        <v>266720</v>
      </c>
      <c r="C288" s="273">
        <v>266720</v>
      </c>
      <c r="D288" s="277">
        <v>282600</v>
      </c>
      <c r="E288" s="277">
        <v>298800</v>
      </c>
    </row>
    <row r="289" spans="1:5" x14ac:dyDescent="0.2">
      <c r="A289" s="262" t="s">
        <v>321</v>
      </c>
      <c r="B289" s="272">
        <v>0</v>
      </c>
      <c r="C289" s="273">
        <v>0</v>
      </c>
      <c r="D289" s="277">
        <f t="shared" si="28"/>
        <v>0</v>
      </c>
      <c r="E289" s="277">
        <f t="shared" si="30"/>
        <v>0</v>
      </c>
    </row>
    <row r="290" spans="1:5" ht="12" thickBot="1" x14ac:dyDescent="0.25">
      <c r="A290" s="262" t="s">
        <v>210</v>
      </c>
      <c r="B290" s="274">
        <f>SUM(B282:B289)</f>
        <v>1856302</v>
      </c>
      <c r="C290" s="275">
        <f>SUM(C282:C289)</f>
        <v>1346926</v>
      </c>
      <c r="D290" s="289">
        <f>SUM(D282:D289)</f>
        <v>1425400</v>
      </c>
      <c r="E290" s="289">
        <f>SUM(E282:E289)</f>
        <v>1507900</v>
      </c>
    </row>
    <row r="291" spans="1:5" ht="12" thickTop="1" x14ac:dyDescent="0.2">
      <c r="C291" s="273"/>
      <c r="D291" s="277"/>
      <c r="E291" s="277"/>
    </row>
    <row r="292" spans="1:5" x14ac:dyDescent="0.2">
      <c r="A292" s="270" t="s">
        <v>211</v>
      </c>
      <c r="C292" s="273"/>
      <c r="D292" s="277"/>
      <c r="E292" s="277"/>
    </row>
    <row r="293" spans="1:5" x14ac:dyDescent="0.2">
      <c r="A293" s="262"/>
      <c r="C293" s="273"/>
      <c r="D293" s="277"/>
      <c r="E293" s="277"/>
    </row>
    <row r="294" spans="1:5" x14ac:dyDescent="0.2">
      <c r="A294" s="262" t="s">
        <v>244</v>
      </c>
      <c r="B294" s="272">
        <v>0</v>
      </c>
      <c r="C294" s="273">
        <v>0</v>
      </c>
      <c r="D294" s="277">
        <f t="shared" ref="D294:D295" si="31">ROUND(+C294*(1+D$1),-2)</f>
        <v>0</v>
      </c>
      <c r="E294" s="277">
        <f t="shared" ref="E294:E295" si="32">ROUND(+D294*(1+E$1),-2)</f>
        <v>0</v>
      </c>
    </row>
    <row r="295" spans="1:5" x14ac:dyDescent="0.2">
      <c r="A295" s="262" t="s">
        <v>245</v>
      </c>
      <c r="B295" s="272">
        <v>0</v>
      </c>
      <c r="C295" s="273">
        <v>0</v>
      </c>
      <c r="D295" s="277">
        <f t="shared" si="31"/>
        <v>0</v>
      </c>
      <c r="E295" s="277">
        <f t="shared" si="32"/>
        <v>0</v>
      </c>
    </row>
    <row r="296" spans="1:5" x14ac:dyDescent="0.2">
      <c r="B296" s="272"/>
      <c r="C296" s="273"/>
      <c r="D296" s="277"/>
      <c r="E296" s="277"/>
    </row>
    <row r="297" spans="1:5" ht="12" thickBot="1" x14ac:dyDescent="0.25">
      <c r="A297" s="262" t="s">
        <v>212</v>
      </c>
      <c r="B297" s="274">
        <f>SUM(B294:B296)</f>
        <v>0</v>
      </c>
      <c r="C297" s="275">
        <f>SUM(C294:C296)</f>
        <v>0</v>
      </c>
      <c r="D297" s="289">
        <f>SUM(D294:D296)</f>
        <v>0</v>
      </c>
      <c r="E297" s="289">
        <f>SUM(E294:E296)</f>
        <v>0</v>
      </c>
    </row>
    <row r="298" spans="1:5" ht="12" thickTop="1" x14ac:dyDescent="0.2">
      <c r="C298" s="273"/>
      <c r="D298" s="277"/>
      <c r="E298" s="277"/>
    </row>
    <row r="299" spans="1:5" x14ac:dyDescent="0.2">
      <c r="A299" s="270" t="s">
        <v>213</v>
      </c>
      <c r="C299" s="273"/>
      <c r="D299" s="277"/>
      <c r="E299" s="277"/>
    </row>
    <row r="300" spans="1:5" x14ac:dyDescent="0.2">
      <c r="A300" s="262"/>
      <c r="C300" s="273"/>
      <c r="D300" s="277"/>
      <c r="E300" s="277"/>
    </row>
    <row r="301" spans="1:5" ht="12" thickBot="1" x14ac:dyDescent="0.25">
      <c r="A301" s="262" t="s">
        <v>214</v>
      </c>
      <c r="B301" s="274">
        <f>B312</f>
        <v>0</v>
      </c>
      <c r="C301" s="275">
        <f>C312</f>
        <v>0</v>
      </c>
      <c r="D301" s="289">
        <f>D312</f>
        <v>0</v>
      </c>
      <c r="E301" s="289">
        <f>E312</f>
        <v>0</v>
      </c>
    </row>
    <row r="302" spans="1:5" ht="12" thickTop="1" x14ac:dyDescent="0.2">
      <c r="B302" s="272"/>
      <c r="C302" s="273"/>
      <c r="D302" s="277"/>
      <c r="E302" s="277"/>
    </row>
    <row r="303" spans="1:5" ht="12" thickBot="1" x14ac:dyDescent="0.25">
      <c r="A303" s="262" t="s">
        <v>121</v>
      </c>
      <c r="B303" s="274">
        <f>B301+B297+B290+B269+B279</f>
        <v>5222797</v>
      </c>
      <c r="C303" s="275">
        <f>C301+C297+C290+C269+C279</f>
        <v>4060344.4992000004</v>
      </c>
      <c r="D303" s="276">
        <f>D301+D297+D290+D269+D279</f>
        <v>4302600</v>
      </c>
      <c r="E303" s="276">
        <f>E301+E297+E290+E269+E279</f>
        <v>4551800</v>
      </c>
    </row>
    <row r="304" spans="1:5" ht="12" thickTop="1" x14ac:dyDescent="0.2">
      <c r="C304" s="273"/>
      <c r="D304" s="277"/>
      <c r="E304" s="277"/>
    </row>
    <row r="305" spans="1:5" x14ac:dyDescent="0.2">
      <c r="A305" s="270" t="s">
        <v>213</v>
      </c>
      <c r="C305" s="273"/>
      <c r="D305" s="277"/>
      <c r="E305" s="277"/>
    </row>
    <row r="306" spans="1:5" x14ac:dyDescent="0.2">
      <c r="A306" s="262"/>
      <c r="C306" s="273"/>
      <c r="D306" s="277"/>
      <c r="E306" s="277"/>
    </row>
    <row r="307" spans="1:5" x14ac:dyDescent="0.2">
      <c r="A307" s="262" t="s">
        <v>250</v>
      </c>
      <c r="C307" s="273">
        <f>B307</f>
        <v>0</v>
      </c>
      <c r="D307" s="277">
        <f>ROUND(+C307*(1+D$1),-2)</f>
        <v>0</v>
      </c>
      <c r="E307" s="277">
        <f t="shared" ref="E307:E309" si="33">ROUND(+D307*(1+E$1),-2)</f>
        <v>0</v>
      </c>
    </row>
    <row r="308" spans="1:5" x14ac:dyDescent="0.2">
      <c r="A308" s="262" t="s">
        <v>251</v>
      </c>
      <c r="B308" s="271">
        <v>0</v>
      </c>
      <c r="C308" s="273">
        <f>B308</f>
        <v>0</v>
      </c>
      <c r="D308" s="277">
        <v>0</v>
      </c>
      <c r="E308" s="277">
        <v>0</v>
      </c>
    </row>
    <row r="309" spans="1:5" x14ac:dyDescent="0.2">
      <c r="A309" s="262" t="s">
        <v>253</v>
      </c>
      <c r="B309" s="271">
        <v>0</v>
      </c>
      <c r="C309" s="273">
        <f>B309</f>
        <v>0</v>
      </c>
      <c r="D309" s="277">
        <f>ROUND(+C309*(1+D$1),-2)</f>
        <v>0</v>
      </c>
      <c r="E309" s="277">
        <f t="shared" si="33"/>
        <v>0</v>
      </c>
    </row>
    <row r="310" spans="1:5" x14ac:dyDescent="0.2">
      <c r="A310" s="262" t="s">
        <v>252</v>
      </c>
      <c r="B310" s="271">
        <v>0</v>
      </c>
      <c r="C310" s="273">
        <f>B310</f>
        <v>0</v>
      </c>
      <c r="D310" s="277">
        <v>0</v>
      </c>
      <c r="E310" s="277">
        <v>0</v>
      </c>
    </row>
    <row r="311" spans="1:5" x14ac:dyDescent="0.2">
      <c r="C311" s="273"/>
      <c r="D311" s="277"/>
      <c r="E311" s="277"/>
    </row>
    <row r="312" spans="1:5" ht="12" thickBot="1" x14ac:dyDescent="0.25">
      <c r="A312" s="262" t="s">
        <v>129</v>
      </c>
      <c r="B312" s="276">
        <f>SUM(B307:B310)</f>
        <v>0</v>
      </c>
      <c r="C312" s="275">
        <f>SUM(C307:C310)</f>
        <v>0</v>
      </c>
      <c r="D312" s="289">
        <f>SUM(D307:D310)</f>
        <v>0</v>
      </c>
      <c r="E312" s="289">
        <f>SUM(E307:E310)</f>
        <v>0</v>
      </c>
    </row>
    <row r="313" spans="1:5" ht="12" thickTop="1" x14ac:dyDescent="0.2">
      <c r="C313" s="273"/>
      <c r="D313" s="277"/>
      <c r="E313" s="277"/>
    </row>
    <row r="314" spans="1:5" x14ac:dyDescent="0.2">
      <c r="A314" s="262"/>
      <c r="B314" s="263" t="s">
        <v>522</v>
      </c>
      <c r="C314" s="333" t="s">
        <v>522</v>
      </c>
      <c r="D314" s="277"/>
      <c r="E314" s="277"/>
    </row>
    <row r="315" spans="1:5" x14ac:dyDescent="0.2">
      <c r="A315" s="262"/>
      <c r="B315" s="263" t="str">
        <f t="shared" ref="B315:D316" si="34">B8</f>
        <v xml:space="preserve"> Budget</v>
      </c>
      <c r="C315" s="299" t="str">
        <f t="shared" si="34"/>
        <v>Budget</v>
      </c>
      <c r="D315" s="300" t="str">
        <f t="shared" si="34"/>
        <v>Budget</v>
      </c>
      <c r="E315" s="300" t="s">
        <v>207</v>
      </c>
    </row>
    <row r="316" spans="1:5" x14ac:dyDescent="0.2">
      <c r="B316" s="263" t="str">
        <f t="shared" si="34"/>
        <v>2016/2017</v>
      </c>
      <c r="C316" s="299" t="str">
        <f t="shared" si="34"/>
        <v>2017/2018</v>
      </c>
      <c r="D316" s="300" t="str">
        <f t="shared" si="34"/>
        <v>2018/2019</v>
      </c>
      <c r="E316" s="302" t="str">
        <f>E9</f>
        <v>2019/2020</v>
      </c>
    </row>
    <row r="317" spans="1:5" x14ac:dyDescent="0.2">
      <c r="A317" s="262"/>
      <c r="C317" s="273"/>
      <c r="D317" s="277"/>
      <c r="E317" s="277"/>
    </row>
    <row r="318" spans="1:5" ht="15.75" x14ac:dyDescent="0.25">
      <c r="A318" s="269" t="s">
        <v>220</v>
      </c>
      <c r="C318" s="273"/>
      <c r="D318" s="277"/>
      <c r="E318" s="277"/>
    </row>
    <row r="319" spans="1:5" x14ac:dyDescent="0.2">
      <c r="A319" s="262"/>
      <c r="C319" s="273"/>
      <c r="D319" s="277"/>
      <c r="E319" s="277"/>
    </row>
    <row r="320" spans="1:5" x14ac:dyDescent="0.2">
      <c r="A320" s="270" t="s">
        <v>208</v>
      </c>
      <c r="C320" s="273"/>
      <c r="D320" s="277"/>
      <c r="E320" s="277"/>
    </row>
    <row r="321" spans="1:5" x14ac:dyDescent="0.2">
      <c r="A321" s="262"/>
      <c r="C321" s="273"/>
      <c r="D321" s="277"/>
      <c r="E321" s="277"/>
    </row>
    <row r="322" spans="1:5" x14ac:dyDescent="0.2">
      <c r="A322" s="262" t="s">
        <v>161</v>
      </c>
      <c r="B322" s="272">
        <v>2865979</v>
      </c>
      <c r="C322" s="273">
        <f>REMUNERATION!F42</f>
        <v>2663645.1600000006</v>
      </c>
      <c r="D322" s="277">
        <f t="shared" ref="D322:D332" si="35">ROUND(+C322*(1+D$1),-2)</f>
        <v>2818100</v>
      </c>
      <c r="E322" s="277">
        <f t="shared" ref="E322:E332" si="36">ROUND(+D322*(1+E$1),-2)</f>
        <v>2981500</v>
      </c>
    </row>
    <row r="323" spans="1:5" x14ac:dyDescent="0.2">
      <c r="A323" s="262" t="s">
        <v>195</v>
      </c>
      <c r="B323" s="272">
        <v>238832</v>
      </c>
      <c r="C323" s="273">
        <f>REMUNERATION!N42</f>
        <v>221970.43000000002</v>
      </c>
      <c r="D323" s="277">
        <f t="shared" si="35"/>
        <v>234800</v>
      </c>
      <c r="E323" s="277">
        <f t="shared" si="36"/>
        <v>248400</v>
      </c>
    </row>
    <row r="324" spans="1:5" x14ac:dyDescent="0.2">
      <c r="A324" s="262" t="s">
        <v>162</v>
      </c>
      <c r="B324" s="272">
        <v>75600</v>
      </c>
      <c r="C324" s="273">
        <f>REMUNERATION!I42</f>
        <v>67200</v>
      </c>
      <c r="D324" s="277">
        <f t="shared" si="35"/>
        <v>71100</v>
      </c>
      <c r="E324" s="277">
        <f t="shared" si="36"/>
        <v>75200</v>
      </c>
    </row>
    <row r="325" spans="1:5" x14ac:dyDescent="0.2">
      <c r="A325" s="262" t="s">
        <v>163</v>
      </c>
      <c r="B325" s="272">
        <v>394535</v>
      </c>
      <c r="C325" s="273">
        <f>REMUNERATION!H42</f>
        <v>397629.12000000005</v>
      </c>
      <c r="D325" s="277">
        <f t="shared" si="35"/>
        <v>420700</v>
      </c>
      <c r="E325" s="277">
        <f t="shared" si="36"/>
        <v>445100</v>
      </c>
    </row>
    <row r="326" spans="1:5" x14ac:dyDescent="0.2">
      <c r="A326" s="262" t="s">
        <v>164</v>
      </c>
      <c r="B326" s="272">
        <v>64800</v>
      </c>
      <c r="C326" s="273">
        <f>REMUNERATION!E41</f>
        <v>64800</v>
      </c>
      <c r="D326" s="277">
        <f t="shared" si="35"/>
        <v>68600</v>
      </c>
      <c r="E326" s="277">
        <f t="shared" si="36"/>
        <v>72600</v>
      </c>
    </row>
    <row r="327" spans="1:5" x14ac:dyDescent="0.2">
      <c r="A327" s="262" t="s">
        <v>133</v>
      </c>
      <c r="B327" s="272">
        <v>630515</v>
      </c>
      <c r="C327" s="273">
        <f>REMUNERATION!G42</f>
        <v>586001.93520000007</v>
      </c>
      <c r="D327" s="277">
        <f t="shared" si="35"/>
        <v>620000</v>
      </c>
      <c r="E327" s="277">
        <f t="shared" si="36"/>
        <v>656000</v>
      </c>
    </row>
    <row r="328" spans="1:5" x14ac:dyDescent="0.2">
      <c r="A328" s="262" t="s">
        <v>165</v>
      </c>
      <c r="B328" s="272">
        <v>697200</v>
      </c>
      <c r="C328" s="273">
        <f>REMUNERATION!K42</f>
        <v>697200</v>
      </c>
      <c r="D328" s="277">
        <f t="shared" si="35"/>
        <v>737600</v>
      </c>
      <c r="E328" s="277">
        <f t="shared" si="36"/>
        <v>780400</v>
      </c>
    </row>
    <row r="329" spans="1:5" x14ac:dyDescent="0.2">
      <c r="A329" s="262" t="s">
        <v>166</v>
      </c>
      <c r="B329" s="272">
        <v>18313</v>
      </c>
      <c r="C329" s="273">
        <f>REMUNERATION!J42</f>
        <v>15408</v>
      </c>
      <c r="D329" s="277">
        <f t="shared" si="35"/>
        <v>16300</v>
      </c>
      <c r="E329" s="277">
        <f t="shared" si="36"/>
        <v>17200</v>
      </c>
    </row>
    <row r="330" spans="1:5" x14ac:dyDescent="0.2">
      <c r="A330" s="283" t="s">
        <v>275</v>
      </c>
      <c r="B330" s="272">
        <v>0</v>
      </c>
      <c r="C330" s="273">
        <v>0</v>
      </c>
      <c r="D330" s="277">
        <f t="shared" si="35"/>
        <v>0</v>
      </c>
      <c r="E330" s="277">
        <f t="shared" ref="E330" si="37">ROUND(+D330*(1+E$1),-2)</f>
        <v>0</v>
      </c>
    </row>
    <row r="331" spans="1:5" x14ac:dyDescent="0.2">
      <c r="A331" s="262" t="s">
        <v>167</v>
      </c>
      <c r="B331" s="272">
        <v>33674</v>
      </c>
      <c r="C331" s="273">
        <f>REMUNERATION!M42</f>
        <v>32973.31500000001</v>
      </c>
      <c r="D331" s="277">
        <f t="shared" si="35"/>
        <v>34900</v>
      </c>
      <c r="E331" s="277">
        <f t="shared" si="36"/>
        <v>36900</v>
      </c>
    </row>
    <row r="332" spans="1:5" x14ac:dyDescent="0.2">
      <c r="A332" s="262" t="s">
        <v>168</v>
      </c>
      <c r="B332" s="272">
        <v>837</v>
      </c>
      <c r="C332" s="273">
        <f>REMUNERATION!L42</f>
        <v>744</v>
      </c>
      <c r="D332" s="277">
        <f t="shared" si="35"/>
        <v>800</v>
      </c>
      <c r="E332" s="277">
        <f t="shared" si="36"/>
        <v>800</v>
      </c>
    </row>
    <row r="333" spans="1:5" x14ac:dyDescent="0.2">
      <c r="C333" s="273"/>
      <c r="D333" s="277"/>
      <c r="E333" s="277"/>
    </row>
    <row r="334" spans="1:5" ht="12" thickBot="1" x14ac:dyDescent="0.25">
      <c r="A334" s="262" t="s">
        <v>209</v>
      </c>
      <c r="B334" s="274">
        <f>SUM(B322:B333)</f>
        <v>5020285</v>
      </c>
      <c r="C334" s="275">
        <f>SUM(C322:C333)</f>
        <v>4747571.9602000015</v>
      </c>
      <c r="D334" s="303">
        <f>SUM(D322:D333)</f>
        <v>5022900</v>
      </c>
      <c r="E334" s="303">
        <f>SUM(E322:E333)</f>
        <v>5314100</v>
      </c>
    </row>
    <row r="335" spans="1:5" ht="12" thickTop="1" x14ac:dyDescent="0.2">
      <c r="C335" s="273"/>
      <c r="D335" s="277"/>
      <c r="E335" s="277"/>
    </row>
    <row r="336" spans="1:5" x14ac:dyDescent="0.2">
      <c r="A336" s="278" t="s">
        <v>98</v>
      </c>
      <c r="C336" s="273"/>
      <c r="D336" s="277"/>
      <c r="E336" s="277"/>
    </row>
    <row r="337" spans="1:5" x14ac:dyDescent="0.2">
      <c r="A337" s="262"/>
      <c r="C337" s="273"/>
      <c r="D337" s="277"/>
      <c r="E337" s="277"/>
    </row>
    <row r="338" spans="1:5" x14ac:dyDescent="0.2">
      <c r="A338" s="262" t="s">
        <v>223</v>
      </c>
      <c r="B338" s="272">
        <v>5710159</v>
      </c>
      <c r="C338" s="273">
        <f>'COUNCILLORS REMUNERATION'!F63</f>
        <v>4451692.200000002</v>
      </c>
      <c r="D338" s="277">
        <f t="shared" ref="D338:D346" si="38">ROUND(+C338*(1+D$1),-2)</f>
        <v>4709900</v>
      </c>
      <c r="E338" s="277">
        <f t="shared" ref="E338:E346" si="39">ROUND(+D338*(1+E$1),-2)</f>
        <v>4983100</v>
      </c>
    </row>
    <row r="339" spans="1:5" x14ac:dyDescent="0.2">
      <c r="A339" s="262" t="s">
        <v>224</v>
      </c>
      <c r="B339" s="272">
        <v>1603976</v>
      </c>
      <c r="C339" s="273">
        <f>'COUNCILLORS REMUNERATION'!L63</f>
        <v>1296636</v>
      </c>
      <c r="D339" s="277">
        <f t="shared" si="38"/>
        <v>1371800</v>
      </c>
      <c r="E339" s="277">
        <f t="shared" si="39"/>
        <v>1451400</v>
      </c>
    </row>
    <row r="340" spans="1:5" x14ac:dyDescent="0.2">
      <c r="A340" s="262" t="s">
        <v>225</v>
      </c>
      <c r="B340" s="272">
        <v>5513</v>
      </c>
      <c r="C340" s="273">
        <f>'COUNCILLORS REMUNERATION'!K63</f>
        <v>134400</v>
      </c>
      <c r="D340" s="277">
        <f t="shared" si="38"/>
        <v>142200</v>
      </c>
      <c r="E340" s="277">
        <f t="shared" si="39"/>
        <v>150400</v>
      </c>
    </row>
    <row r="341" spans="1:5" x14ac:dyDescent="0.2">
      <c r="A341" s="262" t="s">
        <v>404</v>
      </c>
      <c r="B341" s="272">
        <v>0</v>
      </c>
      <c r="C341" s="273">
        <v>0</v>
      </c>
      <c r="D341" s="277">
        <f t="shared" si="38"/>
        <v>0</v>
      </c>
      <c r="E341" s="277">
        <f t="shared" si="39"/>
        <v>0</v>
      </c>
    </row>
    <row r="342" spans="1:5" x14ac:dyDescent="0.2">
      <c r="A342" s="262" t="s">
        <v>103</v>
      </c>
      <c r="B342" s="272">
        <v>48692</v>
      </c>
      <c r="C342" s="273">
        <f>'COUNCILLORS REMUNERATION'!G63</f>
        <v>41736</v>
      </c>
      <c r="D342" s="277">
        <f t="shared" si="38"/>
        <v>44200</v>
      </c>
      <c r="E342" s="277">
        <f>ROUND(+D342*(1+E$1),-2)</f>
        <v>46800</v>
      </c>
    </row>
    <row r="343" spans="1:5" x14ac:dyDescent="0.2">
      <c r="A343" s="283" t="s">
        <v>104</v>
      </c>
      <c r="B343" s="272">
        <v>316498</v>
      </c>
      <c r="C343" s="273">
        <f>'COUNCILLORS REMUNERATION'!H63</f>
        <v>292152</v>
      </c>
      <c r="D343" s="277">
        <f t="shared" si="38"/>
        <v>309100</v>
      </c>
      <c r="E343" s="277">
        <f>ROUND(+D343*(1+E$1),-2)</f>
        <v>327000</v>
      </c>
    </row>
    <row r="344" spans="1:5" x14ac:dyDescent="0.2">
      <c r="A344" s="283" t="s">
        <v>102</v>
      </c>
      <c r="B344" s="272">
        <v>533073</v>
      </c>
      <c r="C344" s="273">
        <f>'COUNCILLORS REMUNERATION'!M63</f>
        <v>570388</v>
      </c>
      <c r="D344" s="277">
        <f t="shared" si="38"/>
        <v>603500</v>
      </c>
      <c r="E344" s="277">
        <f>ROUND(+D344*(1+E$1),-2)</f>
        <v>638500</v>
      </c>
    </row>
    <row r="345" spans="1:5" x14ac:dyDescent="0.2">
      <c r="A345" s="262" t="s">
        <v>148</v>
      </c>
      <c r="B345" s="272">
        <v>159796</v>
      </c>
      <c r="C345" s="273">
        <f>'COUNCILLORS REMUNERATION'!J63</f>
        <v>795258.24000000011</v>
      </c>
      <c r="D345" s="277">
        <f t="shared" si="38"/>
        <v>841400</v>
      </c>
      <c r="E345" s="277">
        <f t="shared" si="39"/>
        <v>890200</v>
      </c>
    </row>
    <row r="346" spans="1:5" x14ac:dyDescent="0.2">
      <c r="A346" s="262" t="s">
        <v>153</v>
      </c>
      <c r="B346" s="272">
        <v>494255</v>
      </c>
      <c r="C346" s="273">
        <f>'COUNCILLORS REMUNERATION'!I63</f>
        <v>534780</v>
      </c>
      <c r="D346" s="277">
        <f t="shared" si="38"/>
        <v>565800</v>
      </c>
      <c r="E346" s="277">
        <f t="shared" si="39"/>
        <v>598600</v>
      </c>
    </row>
    <row r="347" spans="1:5" ht="12" thickBot="1" x14ac:dyDescent="0.25">
      <c r="A347" s="262"/>
      <c r="B347" s="274">
        <f>SUM(B338:B346)</f>
        <v>8871962</v>
      </c>
      <c r="C347" s="275">
        <f>SUM(C338:C346)</f>
        <v>8117042.4400000023</v>
      </c>
      <c r="D347" s="289">
        <f>SUM(D338:D346)</f>
        <v>8587900</v>
      </c>
      <c r="E347" s="289">
        <f>SUM(E338:E346)</f>
        <v>9086000</v>
      </c>
    </row>
    <row r="348" spans="1:5" ht="12" thickTop="1" x14ac:dyDescent="0.2">
      <c r="A348" s="270" t="s">
        <v>203</v>
      </c>
      <c r="C348" s="273"/>
      <c r="D348" s="277"/>
      <c r="E348" s="277"/>
    </row>
    <row r="349" spans="1:5" x14ac:dyDescent="0.2">
      <c r="A349" s="270"/>
      <c r="C349" s="273"/>
      <c r="D349" s="277"/>
      <c r="E349" s="277"/>
    </row>
    <row r="350" spans="1:5" x14ac:dyDescent="0.2">
      <c r="A350" s="262"/>
      <c r="C350" s="273"/>
      <c r="D350" s="277"/>
      <c r="E350" s="277"/>
    </row>
    <row r="351" spans="1:5" x14ac:dyDescent="0.2">
      <c r="A351" s="262" t="s">
        <v>141</v>
      </c>
      <c r="B351" s="272">
        <v>550000</v>
      </c>
      <c r="C351" s="273">
        <v>550000</v>
      </c>
      <c r="D351" s="277">
        <f t="shared" ref="D351:D362" si="40">ROUND(+C351*(1+D$1),-2)</f>
        <v>581900</v>
      </c>
      <c r="E351" s="277">
        <f t="shared" ref="E351:E362" si="41">ROUND(+D351*(1+E$1),-2)</f>
        <v>615700</v>
      </c>
    </row>
    <row r="352" spans="1:5" x14ac:dyDescent="0.2">
      <c r="A352" s="262" t="s">
        <v>284</v>
      </c>
      <c r="B352" s="272">
        <v>0</v>
      </c>
      <c r="C352" s="273">
        <v>0</v>
      </c>
      <c r="D352" s="277">
        <f t="shared" si="40"/>
        <v>0</v>
      </c>
      <c r="E352" s="277">
        <f t="shared" si="41"/>
        <v>0</v>
      </c>
    </row>
    <row r="353" spans="1:6" x14ac:dyDescent="0.2">
      <c r="A353" s="262" t="s">
        <v>158</v>
      </c>
      <c r="B353" s="272">
        <v>111088</v>
      </c>
      <c r="C353" s="273">
        <v>111088</v>
      </c>
      <c r="D353" s="277">
        <f t="shared" si="40"/>
        <v>117500</v>
      </c>
      <c r="E353" s="277">
        <f t="shared" si="41"/>
        <v>124300</v>
      </c>
    </row>
    <row r="354" spans="1:6" s="305" customFormat="1" x14ac:dyDescent="0.2">
      <c r="A354" s="262" t="s">
        <v>392</v>
      </c>
      <c r="B354" s="272">
        <v>240000</v>
      </c>
      <c r="C354" s="273">
        <v>600000</v>
      </c>
      <c r="D354" s="277">
        <f t="shared" si="40"/>
        <v>634800</v>
      </c>
      <c r="E354" s="277">
        <f t="shared" si="41"/>
        <v>671600</v>
      </c>
      <c r="F354" s="304"/>
    </row>
    <row r="355" spans="1:6" x14ac:dyDescent="0.2">
      <c r="A355" s="262" t="s">
        <v>426</v>
      </c>
      <c r="B355" s="272">
        <v>0</v>
      </c>
      <c r="C355" s="273">
        <v>250000</v>
      </c>
      <c r="D355" s="277">
        <f t="shared" si="40"/>
        <v>264500</v>
      </c>
      <c r="E355" s="277">
        <f t="shared" si="41"/>
        <v>279800</v>
      </c>
    </row>
    <row r="356" spans="1:6" x14ac:dyDescent="0.2">
      <c r="A356" s="262" t="s">
        <v>159</v>
      </c>
      <c r="B356" s="272">
        <v>17580</v>
      </c>
      <c r="C356" s="273">
        <v>17580</v>
      </c>
      <c r="D356" s="277">
        <f t="shared" si="40"/>
        <v>18600</v>
      </c>
      <c r="E356" s="277">
        <f t="shared" si="41"/>
        <v>19700</v>
      </c>
    </row>
    <row r="357" spans="1:6" x14ac:dyDescent="0.2">
      <c r="A357" s="262" t="s">
        <v>265</v>
      </c>
      <c r="B357" s="272">
        <v>46880</v>
      </c>
      <c r="C357" s="273">
        <v>0</v>
      </c>
      <c r="D357" s="277">
        <f t="shared" si="40"/>
        <v>0</v>
      </c>
      <c r="E357" s="277">
        <f t="shared" si="41"/>
        <v>0</v>
      </c>
    </row>
    <row r="358" spans="1:6" x14ac:dyDescent="0.2">
      <c r="A358" s="262" t="s">
        <v>155</v>
      </c>
      <c r="B358" s="272">
        <v>930000</v>
      </c>
      <c r="C358" s="273">
        <v>930000</v>
      </c>
      <c r="D358" s="277">
        <f t="shared" si="40"/>
        <v>983900</v>
      </c>
      <c r="E358" s="277">
        <f t="shared" si="41"/>
        <v>1041000</v>
      </c>
    </row>
    <row r="359" spans="1:6" x14ac:dyDescent="0.2">
      <c r="A359" s="262" t="s">
        <v>285</v>
      </c>
      <c r="B359" s="272">
        <v>100000</v>
      </c>
      <c r="C359" s="273">
        <v>100000</v>
      </c>
      <c r="D359" s="277">
        <f t="shared" si="40"/>
        <v>105800</v>
      </c>
      <c r="E359" s="277">
        <f t="shared" si="41"/>
        <v>111900</v>
      </c>
    </row>
    <row r="360" spans="1:6" x14ac:dyDescent="0.2">
      <c r="A360" s="262" t="s">
        <v>160</v>
      </c>
      <c r="B360" s="272">
        <v>0</v>
      </c>
      <c r="C360" s="273">
        <v>0</v>
      </c>
      <c r="D360" s="277">
        <f t="shared" si="40"/>
        <v>0</v>
      </c>
      <c r="E360" s="277">
        <f t="shared" si="41"/>
        <v>0</v>
      </c>
    </row>
    <row r="361" spans="1:6" x14ac:dyDescent="0.2">
      <c r="A361" s="262" t="s">
        <v>475</v>
      </c>
      <c r="B361" s="272">
        <v>500000</v>
      </c>
      <c r="C361" s="273">
        <v>300000</v>
      </c>
      <c r="D361" s="277">
        <v>317900</v>
      </c>
      <c r="E361" s="277">
        <v>336100</v>
      </c>
    </row>
    <row r="362" spans="1:6" x14ac:dyDescent="0.2">
      <c r="A362" s="262" t="s">
        <v>286</v>
      </c>
      <c r="B362" s="272">
        <v>0</v>
      </c>
      <c r="C362" s="273">
        <v>0</v>
      </c>
      <c r="D362" s="277">
        <f t="shared" si="40"/>
        <v>0</v>
      </c>
      <c r="E362" s="277">
        <f t="shared" si="41"/>
        <v>0</v>
      </c>
    </row>
    <row r="363" spans="1:6" ht="12" thickBot="1" x14ac:dyDescent="0.25">
      <c r="A363" s="262" t="s">
        <v>210</v>
      </c>
      <c r="B363" s="274">
        <f>SUM(B351:B362)</f>
        <v>2495548</v>
      </c>
      <c r="C363" s="275">
        <f>SUM(C351:C362)</f>
        <v>2858668</v>
      </c>
      <c r="D363" s="274">
        <f>SUM(D350:D362)</f>
        <v>3024900</v>
      </c>
      <c r="E363" s="274">
        <f>SUM(E350:E362)</f>
        <v>3200100</v>
      </c>
    </row>
    <row r="364" spans="1:6" ht="12" thickTop="1" x14ac:dyDescent="0.2">
      <c r="C364" s="273"/>
      <c r="D364" s="277"/>
      <c r="E364" s="277"/>
    </row>
    <row r="365" spans="1:6" x14ac:dyDescent="0.2">
      <c r="A365" s="270" t="s">
        <v>211</v>
      </c>
      <c r="C365" s="273"/>
      <c r="D365" s="277"/>
      <c r="E365" s="277"/>
    </row>
    <row r="366" spans="1:6" x14ac:dyDescent="0.2">
      <c r="A366" s="262"/>
      <c r="C366" s="273"/>
      <c r="D366" s="277"/>
      <c r="E366" s="277"/>
    </row>
    <row r="367" spans="1:6" x14ac:dyDescent="0.2">
      <c r="A367" s="262" t="s">
        <v>244</v>
      </c>
      <c r="B367" s="272">
        <v>0</v>
      </c>
      <c r="C367" s="273">
        <v>0</v>
      </c>
      <c r="D367" s="277">
        <f t="shared" ref="D367:D368" si="42">ROUND(+C367*(1+D$1),-2)</f>
        <v>0</v>
      </c>
      <c r="E367" s="277">
        <f t="shared" ref="E367:E368" si="43">ROUND(+D367*(1+E$1),-2)</f>
        <v>0</v>
      </c>
    </row>
    <row r="368" spans="1:6" x14ac:dyDescent="0.2">
      <c r="A368" s="262" t="s">
        <v>245</v>
      </c>
      <c r="B368" s="272">
        <v>0</v>
      </c>
      <c r="C368" s="273">
        <v>0</v>
      </c>
      <c r="D368" s="277">
        <f t="shared" si="42"/>
        <v>0</v>
      </c>
      <c r="E368" s="277">
        <f t="shared" si="43"/>
        <v>0</v>
      </c>
    </row>
    <row r="369" spans="1:5" x14ac:dyDescent="0.2">
      <c r="B369" s="272"/>
      <c r="C369" s="273"/>
      <c r="D369" s="277"/>
      <c r="E369" s="277"/>
    </row>
    <row r="370" spans="1:5" ht="12" thickBot="1" x14ac:dyDescent="0.25">
      <c r="A370" s="262" t="s">
        <v>212</v>
      </c>
      <c r="B370" s="274">
        <f>SUM(B367:B369)</f>
        <v>0</v>
      </c>
      <c r="C370" s="275">
        <f>SUM(C367:C369)</f>
        <v>0</v>
      </c>
      <c r="D370" s="289">
        <f>SUM(D367:D369)</f>
        <v>0</v>
      </c>
      <c r="E370" s="289">
        <f>SUM(E367:E369)</f>
        <v>0</v>
      </c>
    </row>
    <row r="371" spans="1:5" ht="12" thickTop="1" x14ac:dyDescent="0.2">
      <c r="C371" s="273"/>
      <c r="D371" s="277"/>
      <c r="E371" s="277"/>
    </row>
    <row r="372" spans="1:5" x14ac:dyDescent="0.2">
      <c r="A372" s="270" t="s">
        <v>213</v>
      </c>
      <c r="C372" s="273"/>
      <c r="D372" s="277"/>
      <c r="E372" s="277"/>
    </row>
    <row r="373" spans="1:5" x14ac:dyDescent="0.2">
      <c r="A373" s="262"/>
      <c r="C373" s="273"/>
      <c r="D373" s="277"/>
      <c r="E373" s="277"/>
    </row>
    <row r="374" spans="1:5" ht="12" thickBot="1" x14ac:dyDescent="0.25">
      <c r="A374" s="262" t="s">
        <v>214</v>
      </c>
      <c r="B374" s="276">
        <f>B385</f>
        <v>0</v>
      </c>
      <c r="C374" s="275">
        <f>C385</f>
        <v>0</v>
      </c>
      <c r="D374" s="289">
        <f>D385</f>
        <v>0</v>
      </c>
      <c r="E374" s="289">
        <f>E385</f>
        <v>0</v>
      </c>
    </row>
    <row r="375" spans="1:5" ht="12" thickTop="1" x14ac:dyDescent="0.2">
      <c r="C375" s="273"/>
      <c r="D375" s="277"/>
      <c r="E375" s="277"/>
    </row>
    <row r="376" spans="1:5" x14ac:dyDescent="0.2">
      <c r="C376" s="273"/>
      <c r="D376" s="277"/>
      <c r="E376" s="277"/>
    </row>
    <row r="377" spans="1:5" ht="12" thickBot="1" x14ac:dyDescent="0.25">
      <c r="A377" s="262" t="s">
        <v>121</v>
      </c>
      <c r="B377" s="274">
        <f>B374+B370+B363+B334+B347</f>
        <v>16387795</v>
      </c>
      <c r="C377" s="275">
        <f>C374+C370+C363+C334+C347</f>
        <v>15723282.400200004</v>
      </c>
      <c r="D377" s="276">
        <f>D374+D370+D363+D334+D347</f>
        <v>16635700</v>
      </c>
      <c r="E377" s="276">
        <f>E374+E370+E363+E334+E347</f>
        <v>17600200</v>
      </c>
    </row>
    <row r="378" spans="1:5" ht="12" thickTop="1" x14ac:dyDescent="0.2">
      <c r="C378" s="273"/>
      <c r="D378" s="277"/>
      <c r="E378" s="277"/>
    </row>
    <row r="379" spans="1:5" x14ac:dyDescent="0.2">
      <c r="A379" s="270" t="s">
        <v>213</v>
      </c>
      <c r="C379" s="273"/>
      <c r="D379" s="277"/>
      <c r="E379" s="277"/>
    </row>
    <row r="380" spans="1:5" x14ac:dyDescent="0.2">
      <c r="A380" s="262"/>
      <c r="C380" s="273"/>
      <c r="D380" s="277"/>
      <c r="E380" s="277"/>
    </row>
    <row r="381" spans="1:5" x14ac:dyDescent="0.2">
      <c r="A381" s="262" t="s">
        <v>250</v>
      </c>
      <c r="C381" s="273">
        <f t="shared" ref="C381:C383" si="44">B381+B381*0.06</f>
        <v>0</v>
      </c>
      <c r="D381" s="277">
        <f>ROUND(+C381*(1+D$1),-2)</f>
        <v>0</v>
      </c>
      <c r="E381" s="277">
        <f t="shared" ref="E381:E383" si="45">ROUND(+D381*(1+E$1),-2)</f>
        <v>0</v>
      </c>
    </row>
    <row r="382" spans="1:5" x14ac:dyDescent="0.2">
      <c r="A382" s="262" t="s">
        <v>251</v>
      </c>
      <c r="C382" s="273">
        <f t="shared" si="44"/>
        <v>0</v>
      </c>
      <c r="D382" s="277">
        <f>ROUND(+C382*(1+D$1),-2)</f>
        <v>0</v>
      </c>
      <c r="E382" s="277">
        <f t="shared" si="45"/>
        <v>0</v>
      </c>
    </row>
    <row r="383" spans="1:5" x14ac:dyDescent="0.2">
      <c r="A383" s="262" t="s">
        <v>252</v>
      </c>
      <c r="C383" s="273">
        <f t="shared" si="44"/>
        <v>0</v>
      </c>
      <c r="D383" s="277">
        <f>ROUND(+C383*(1+D$1),-2)</f>
        <v>0</v>
      </c>
      <c r="E383" s="277">
        <f t="shared" si="45"/>
        <v>0</v>
      </c>
    </row>
    <row r="384" spans="1:5" x14ac:dyDescent="0.2">
      <c r="C384" s="273"/>
      <c r="D384" s="277"/>
      <c r="E384" s="277"/>
    </row>
    <row r="385" spans="1:5" ht="12" thickBot="1" x14ac:dyDescent="0.25">
      <c r="A385" s="262" t="s">
        <v>129</v>
      </c>
      <c r="B385" s="276">
        <f>SUM(B381:B383)</f>
        <v>0</v>
      </c>
      <c r="C385" s="275">
        <f>SUM(C381:C383)</f>
        <v>0</v>
      </c>
      <c r="D385" s="289">
        <f>SUM(D381:D383)</f>
        <v>0</v>
      </c>
      <c r="E385" s="289">
        <f>SUM(E381:E383)</f>
        <v>0</v>
      </c>
    </row>
    <row r="386" spans="1:5" ht="12" thickTop="1" x14ac:dyDescent="0.2">
      <c r="A386" s="262"/>
      <c r="B386" s="263" t="s">
        <v>522</v>
      </c>
      <c r="C386" s="333" t="s">
        <v>797</v>
      </c>
      <c r="D386" s="277"/>
      <c r="E386" s="277"/>
    </row>
    <row r="387" spans="1:5" x14ac:dyDescent="0.2">
      <c r="A387" s="262"/>
      <c r="B387" s="263" t="s">
        <v>207</v>
      </c>
      <c r="C387" s="261" t="s">
        <v>207</v>
      </c>
      <c r="D387" s="278" t="s">
        <v>207</v>
      </c>
      <c r="E387" s="278" t="s">
        <v>207</v>
      </c>
    </row>
    <row r="388" spans="1:5" x14ac:dyDescent="0.2">
      <c r="B388" s="265" t="str">
        <f>B9</f>
        <v>2016/2017</v>
      </c>
      <c r="C388" s="306" t="str">
        <f>C9</f>
        <v>2017/2018</v>
      </c>
      <c r="D388" s="307" t="str">
        <f>D9</f>
        <v>2018/2019</v>
      </c>
      <c r="E388" s="307" t="str">
        <f>E9</f>
        <v>2019/2020</v>
      </c>
    </row>
    <row r="389" spans="1:5" x14ac:dyDescent="0.2">
      <c r="A389" s="262"/>
      <c r="C389" s="273"/>
      <c r="D389" s="277"/>
      <c r="E389" s="277"/>
    </row>
    <row r="390" spans="1:5" ht="15.75" x14ac:dyDescent="0.25">
      <c r="A390" s="269" t="s">
        <v>17</v>
      </c>
      <c r="C390" s="273"/>
      <c r="D390" s="277"/>
      <c r="E390" s="277"/>
    </row>
    <row r="391" spans="1:5" x14ac:dyDescent="0.2">
      <c r="A391" s="262"/>
      <c r="C391" s="273"/>
      <c r="D391" s="277"/>
      <c r="E391" s="277"/>
    </row>
    <row r="392" spans="1:5" x14ac:dyDescent="0.2">
      <c r="A392" s="270" t="s">
        <v>208</v>
      </c>
      <c r="C392" s="273"/>
      <c r="D392" s="277"/>
      <c r="E392" s="277"/>
    </row>
    <row r="393" spans="1:5" x14ac:dyDescent="0.2">
      <c r="A393" s="262"/>
      <c r="C393" s="273"/>
      <c r="D393" s="277"/>
      <c r="E393" s="277"/>
    </row>
    <row r="394" spans="1:5" x14ac:dyDescent="0.2">
      <c r="A394" s="262" t="s">
        <v>161</v>
      </c>
      <c r="B394" s="272">
        <v>261588</v>
      </c>
      <c r="C394" s="273">
        <f>REMUNERATION!F51</f>
        <v>251009.16</v>
      </c>
      <c r="D394" s="277">
        <f t="shared" ref="D394:D404" si="46">ROUND(+C394*(1+D$1),-2)</f>
        <v>265600</v>
      </c>
      <c r="E394" s="277">
        <f t="shared" ref="E394:E404" si="47">ROUND(+D394*(1+E$1),-2)</f>
        <v>281000</v>
      </c>
    </row>
    <row r="395" spans="1:5" x14ac:dyDescent="0.2">
      <c r="A395" s="262" t="s">
        <v>195</v>
      </c>
      <c r="B395" s="272">
        <v>21799</v>
      </c>
      <c r="C395" s="273">
        <f>REMUNERATION!N51</f>
        <v>20917.43</v>
      </c>
      <c r="D395" s="277">
        <f t="shared" si="46"/>
        <v>22100</v>
      </c>
      <c r="E395" s="277">
        <f t="shared" si="47"/>
        <v>23400</v>
      </c>
    </row>
    <row r="396" spans="1:5" x14ac:dyDescent="0.2">
      <c r="A396" s="262" t="s">
        <v>157</v>
      </c>
      <c r="B396" s="272">
        <v>0</v>
      </c>
      <c r="C396" s="273">
        <f>REMUNERATION!N52</f>
        <v>0</v>
      </c>
      <c r="D396" s="277">
        <f t="shared" si="46"/>
        <v>0</v>
      </c>
      <c r="E396" s="277">
        <f t="shared" si="47"/>
        <v>0</v>
      </c>
    </row>
    <row r="397" spans="1:5" x14ac:dyDescent="0.2">
      <c r="A397" s="262" t="s">
        <v>162</v>
      </c>
      <c r="B397" s="272">
        <v>8400</v>
      </c>
      <c r="C397" s="273">
        <f>REMUNERATION!I51</f>
        <v>8400</v>
      </c>
      <c r="D397" s="277">
        <f t="shared" si="46"/>
        <v>8900</v>
      </c>
      <c r="E397" s="277">
        <f t="shared" si="47"/>
        <v>9400</v>
      </c>
    </row>
    <row r="398" spans="1:5" x14ac:dyDescent="0.2">
      <c r="A398" s="262" t="s">
        <v>163</v>
      </c>
      <c r="B398" s="272">
        <v>43104</v>
      </c>
      <c r="C398" s="273">
        <f>REMUNERATION!H51</f>
        <v>49703.64</v>
      </c>
      <c r="D398" s="277">
        <f t="shared" si="46"/>
        <v>52600</v>
      </c>
      <c r="E398" s="277">
        <f t="shared" si="47"/>
        <v>55700</v>
      </c>
    </row>
    <row r="399" spans="1:5" x14ac:dyDescent="0.2">
      <c r="A399" s="262" t="s">
        <v>164</v>
      </c>
      <c r="B399" s="272">
        <v>0</v>
      </c>
      <c r="C399" s="273">
        <f>REMUNERATION!H53</f>
        <v>0</v>
      </c>
      <c r="D399" s="277">
        <f t="shared" si="46"/>
        <v>0</v>
      </c>
      <c r="E399" s="277">
        <f t="shared" si="47"/>
        <v>0</v>
      </c>
    </row>
    <row r="400" spans="1:5" x14ac:dyDescent="0.2">
      <c r="A400" s="262" t="s">
        <v>133</v>
      </c>
      <c r="B400" s="272">
        <v>57549</v>
      </c>
      <c r="C400" s="273">
        <f>REMUNERATION!G51</f>
        <v>55222.015200000002</v>
      </c>
      <c r="D400" s="277">
        <f t="shared" si="46"/>
        <v>58400</v>
      </c>
      <c r="E400" s="277">
        <f t="shared" si="47"/>
        <v>61800</v>
      </c>
    </row>
    <row r="401" spans="1:5" x14ac:dyDescent="0.2">
      <c r="A401" s="262" t="s">
        <v>165</v>
      </c>
      <c r="B401" s="272">
        <v>0</v>
      </c>
      <c r="C401" s="273"/>
      <c r="D401" s="277">
        <f t="shared" si="46"/>
        <v>0</v>
      </c>
      <c r="E401" s="277">
        <f t="shared" si="47"/>
        <v>0</v>
      </c>
    </row>
    <row r="402" spans="1:5" x14ac:dyDescent="0.2">
      <c r="A402" s="262" t="s">
        <v>166</v>
      </c>
      <c r="B402" s="272">
        <v>1926</v>
      </c>
      <c r="C402" s="273">
        <f>REMUNERATION!J51</f>
        <v>1926</v>
      </c>
      <c r="D402" s="277">
        <f t="shared" si="46"/>
        <v>2000</v>
      </c>
      <c r="E402" s="277">
        <f t="shared" si="47"/>
        <v>2100</v>
      </c>
    </row>
    <row r="403" spans="1:5" x14ac:dyDescent="0.2">
      <c r="A403" s="262" t="s">
        <v>167</v>
      </c>
      <c r="B403" s="272">
        <v>2918</v>
      </c>
      <c r="C403" s="273">
        <f>REMUNERATION!M51</f>
        <v>2803.2659000000003</v>
      </c>
      <c r="D403" s="277">
        <f t="shared" si="46"/>
        <v>3000</v>
      </c>
      <c r="E403" s="277">
        <f t="shared" si="47"/>
        <v>3200</v>
      </c>
    </row>
    <row r="404" spans="1:5" x14ac:dyDescent="0.2">
      <c r="A404" s="262" t="s">
        <v>168</v>
      </c>
      <c r="B404" s="272">
        <v>93</v>
      </c>
      <c r="C404" s="273">
        <f>REMUNERATION!L51</f>
        <v>93</v>
      </c>
      <c r="D404" s="277">
        <f t="shared" si="46"/>
        <v>100</v>
      </c>
      <c r="E404" s="277">
        <f t="shared" si="47"/>
        <v>100</v>
      </c>
    </row>
    <row r="405" spans="1:5" x14ac:dyDescent="0.2">
      <c r="C405" s="273"/>
      <c r="D405" s="277"/>
      <c r="E405" s="277"/>
    </row>
    <row r="406" spans="1:5" ht="12" thickBot="1" x14ac:dyDescent="0.25">
      <c r="A406" s="262" t="s">
        <v>209</v>
      </c>
      <c r="B406" s="274">
        <f>SUM(B394:B405)</f>
        <v>397377</v>
      </c>
      <c r="C406" s="275">
        <f>SUM(C394:C405)</f>
        <v>390074.51110000006</v>
      </c>
      <c r="D406" s="303">
        <f>SUM(D394:D405)</f>
        <v>412700</v>
      </c>
      <c r="E406" s="303">
        <f>SUM(E394:E405)</f>
        <v>436700</v>
      </c>
    </row>
    <row r="407" spans="1:5" ht="12" thickTop="1" x14ac:dyDescent="0.2">
      <c r="C407" s="273"/>
      <c r="D407" s="277"/>
      <c r="E407" s="277"/>
    </row>
    <row r="408" spans="1:5" x14ac:dyDescent="0.2">
      <c r="A408" s="278" t="s">
        <v>98</v>
      </c>
      <c r="C408" s="273"/>
      <c r="D408" s="277"/>
      <c r="E408" s="277"/>
    </row>
    <row r="409" spans="1:5" x14ac:dyDescent="0.2">
      <c r="A409" s="262"/>
      <c r="C409" s="273"/>
      <c r="D409" s="277"/>
      <c r="E409" s="277"/>
    </row>
    <row r="410" spans="1:5" x14ac:dyDescent="0.2">
      <c r="A410" s="262" t="s">
        <v>223</v>
      </c>
      <c r="B410" s="272">
        <v>511145</v>
      </c>
      <c r="C410" s="273">
        <f>'COUNCILLORS REMUNERATION'!F71</f>
        <v>504817.44000000006</v>
      </c>
      <c r="D410" s="277">
        <f t="shared" ref="D410:D415" si="48">ROUND(+C410*(1+D$1),-2)</f>
        <v>534100</v>
      </c>
      <c r="E410" s="277">
        <f t="shared" ref="E410:E415" si="49">ROUND(+D410*(1+E$1),-2)</f>
        <v>565100</v>
      </c>
    </row>
    <row r="411" spans="1:5" x14ac:dyDescent="0.2">
      <c r="A411" s="262" t="s">
        <v>224</v>
      </c>
      <c r="B411" s="272">
        <v>172860</v>
      </c>
      <c r="C411" s="273">
        <f>'COUNCILLORS REMUNERATION'!L71</f>
        <v>172848</v>
      </c>
      <c r="D411" s="277">
        <f t="shared" si="48"/>
        <v>182900</v>
      </c>
      <c r="E411" s="277">
        <f t="shared" si="49"/>
        <v>193500</v>
      </c>
    </row>
    <row r="412" spans="1:5" x14ac:dyDescent="0.2">
      <c r="A412" s="262" t="s">
        <v>225</v>
      </c>
      <c r="B412" s="272">
        <v>0</v>
      </c>
      <c r="C412" s="273">
        <f>'COUNCILLORS REMUNERATION'!K71</f>
        <v>8400</v>
      </c>
      <c r="D412" s="277">
        <f t="shared" si="48"/>
        <v>8900</v>
      </c>
      <c r="E412" s="277">
        <f t="shared" si="49"/>
        <v>9400</v>
      </c>
    </row>
    <row r="413" spans="1:5" x14ac:dyDescent="0.2">
      <c r="A413" s="262" t="s">
        <v>103</v>
      </c>
      <c r="B413" s="272">
        <v>22800</v>
      </c>
      <c r="C413" s="273">
        <f>'COUNCILLORS REMUNERATION'!G71</f>
        <v>20868</v>
      </c>
      <c r="D413" s="277">
        <f t="shared" si="48"/>
        <v>22100</v>
      </c>
      <c r="E413" s="277">
        <f t="shared" si="49"/>
        <v>23400</v>
      </c>
    </row>
    <row r="414" spans="1:5" x14ac:dyDescent="0.2">
      <c r="A414" s="262" t="s">
        <v>148</v>
      </c>
      <c r="B414" s="272">
        <v>46452</v>
      </c>
      <c r="C414" s="273">
        <f>'COUNCILLORS REMUNERATION'!J71</f>
        <v>49703.64</v>
      </c>
      <c r="D414" s="277">
        <f t="shared" si="48"/>
        <v>52600</v>
      </c>
      <c r="E414" s="277">
        <f t="shared" si="49"/>
        <v>55700</v>
      </c>
    </row>
    <row r="415" spans="1:5" x14ac:dyDescent="0.2">
      <c r="A415" s="262" t="s">
        <v>153</v>
      </c>
      <c r="B415" s="272">
        <v>64104</v>
      </c>
      <c r="C415" s="273">
        <f>'COUNCILLORS REMUNERATION'!I71</f>
        <v>24000</v>
      </c>
      <c r="D415" s="277">
        <f t="shared" si="48"/>
        <v>25400</v>
      </c>
      <c r="E415" s="277">
        <f t="shared" si="49"/>
        <v>26900</v>
      </c>
    </row>
    <row r="416" spans="1:5" ht="12" thickBot="1" x14ac:dyDescent="0.25">
      <c r="A416" s="262"/>
      <c r="B416" s="274">
        <f>SUM(B410:B415)</f>
        <v>817361</v>
      </c>
      <c r="C416" s="275">
        <f>SUM(C410:C415)</f>
        <v>780637.08000000007</v>
      </c>
      <c r="D416" s="289">
        <f>SUM(D410:D415)</f>
        <v>826000</v>
      </c>
      <c r="E416" s="289">
        <f>SUM(E410:E415)</f>
        <v>874000</v>
      </c>
    </row>
    <row r="417" spans="1:5" ht="12" thickTop="1" x14ac:dyDescent="0.2">
      <c r="A417" s="270" t="s">
        <v>203</v>
      </c>
      <c r="C417" s="273"/>
      <c r="D417" s="277"/>
      <c r="E417" s="277"/>
    </row>
    <row r="418" spans="1:5" x14ac:dyDescent="0.2">
      <c r="A418" s="262"/>
      <c r="C418" s="273"/>
      <c r="D418" s="277"/>
      <c r="E418" s="277"/>
    </row>
    <row r="419" spans="1:5" x14ac:dyDescent="0.2">
      <c r="A419" s="262" t="s">
        <v>141</v>
      </c>
      <c r="B419" s="272">
        <v>11109</v>
      </c>
      <c r="C419" s="273">
        <v>11109</v>
      </c>
      <c r="D419" s="277">
        <f t="shared" ref="D419:D423" si="50">ROUND(+C419*(1+D$1),-2)</f>
        <v>11800</v>
      </c>
      <c r="E419" s="277">
        <f t="shared" ref="E419:E423" si="51">ROUND(+D419*(1+E$1),-2)</f>
        <v>12500</v>
      </c>
    </row>
    <row r="420" spans="1:5" x14ac:dyDescent="0.2">
      <c r="A420" s="262" t="s">
        <v>158</v>
      </c>
      <c r="B420" s="272">
        <v>4191</v>
      </c>
      <c r="C420" s="273">
        <v>4191</v>
      </c>
      <c r="D420" s="277">
        <f t="shared" si="50"/>
        <v>4400</v>
      </c>
      <c r="E420" s="277">
        <f t="shared" si="51"/>
        <v>4700</v>
      </c>
    </row>
    <row r="421" spans="1:5" x14ac:dyDescent="0.2">
      <c r="A421" s="262" t="s">
        <v>159</v>
      </c>
      <c r="B421" s="272">
        <v>16000</v>
      </c>
      <c r="C421" s="273">
        <v>16000</v>
      </c>
      <c r="D421" s="277">
        <f t="shared" si="50"/>
        <v>16900</v>
      </c>
      <c r="E421" s="277">
        <f t="shared" si="51"/>
        <v>17900</v>
      </c>
    </row>
    <row r="422" spans="1:5" x14ac:dyDescent="0.2">
      <c r="A422" s="262" t="s">
        <v>265</v>
      </c>
      <c r="B422" s="272">
        <v>5860</v>
      </c>
      <c r="C422" s="273">
        <v>0</v>
      </c>
      <c r="D422" s="277">
        <f t="shared" si="50"/>
        <v>0</v>
      </c>
      <c r="E422" s="277">
        <f t="shared" si="51"/>
        <v>0</v>
      </c>
    </row>
    <row r="423" spans="1:5" x14ac:dyDescent="0.2">
      <c r="A423" s="262" t="s">
        <v>155</v>
      </c>
      <c r="B423" s="272">
        <v>33762</v>
      </c>
      <c r="C423" s="273">
        <v>33762</v>
      </c>
      <c r="D423" s="277">
        <f t="shared" si="50"/>
        <v>35700</v>
      </c>
      <c r="E423" s="277">
        <f t="shared" si="51"/>
        <v>37800</v>
      </c>
    </row>
    <row r="424" spans="1:5" x14ac:dyDescent="0.2">
      <c r="A424" s="248" t="s">
        <v>327</v>
      </c>
      <c r="B424" s="272">
        <v>300000</v>
      </c>
      <c r="C424" s="273">
        <v>300000</v>
      </c>
      <c r="D424" s="277">
        <v>317500</v>
      </c>
      <c r="E424" s="277">
        <v>335800</v>
      </c>
    </row>
    <row r="425" spans="1:5" ht="12" thickBot="1" x14ac:dyDescent="0.25">
      <c r="A425" s="262" t="s">
        <v>210</v>
      </c>
      <c r="B425" s="274">
        <f>SUM(B419:B424)</f>
        <v>370922</v>
      </c>
      <c r="C425" s="275">
        <f>SUM(C419:C424)</f>
        <v>365062</v>
      </c>
      <c r="D425" s="289">
        <f>SUM(D419:D424)</f>
        <v>386300</v>
      </c>
      <c r="E425" s="289">
        <f>SUM(E419:E424)</f>
        <v>408700</v>
      </c>
    </row>
    <row r="426" spans="1:5" ht="12" thickTop="1" x14ac:dyDescent="0.2">
      <c r="C426" s="273"/>
      <c r="D426" s="277"/>
      <c r="E426" s="277"/>
    </row>
    <row r="427" spans="1:5" x14ac:dyDescent="0.2">
      <c r="A427" s="270" t="s">
        <v>211</v>
      </c>
      <c r="C427" s="273"/>
      <c r="D427" s="277"/>
      <c r="E427" s="277"/>
    </row>
    <row r="428" spans="1:5" x14ac:dyDescent="0.2">
      <c r="A428" s="262"/>
      <c r="C428" s="273"/>
      <c r="D428" s="277"/>
      <c r="E428" s="277"/>
    </row>
    <row r="429" spans="1:5" x14ac:dyDescent="0.2">
      <c r="A429" s="262" t="s">
        <v>244</v>
      </c>
      <c r="B429" s="272">
        <v>0</v>
      </c>
      <c r="C429" s="273">
        <v>0</v>
      </c>
      <c r="D429" s="277">
        <f t="shared" ref="D429:D430" si="52">ROUND(+C429*(1+D$1),-2)</f>
        <v>0</v>
      </c>
      <c r="E429" s="277">
        <f t="shared" ref="E429:E430" si="53">ROUND(+D429*(1+E$1),-2)</f>
        <v>0</v>
      </c>
    </row>
    <row r="430" spans="1:5" x14ac:dyDescent="0.2">
      <c r="A430" s="262" t="s">
        <v>245</v>
      </c>
      <c r="B430" s="272">
        <v>0</v>
      </c>
      <c r="C430" s="273">
        <v>0</v>
      </c>
      <c r="D430" s="277">
        <f t="shared" si="52"/>
        <v>0</v>
      </c>
      <c r="E430" s="277">
        <f t="shared" si="53"/>
        <v>0</v>
      </c>
    </row>
    <row r="431" spans="1:5" x14ac:dyDescent="0.2">
      <c r="B431" s="272"/>
      <c r="C431" s="273"/>
      <c r="D431" s="277"/>
      <c r="E431" s="277"/>
    </row>
    <row r="432" spans="1:5" ht="12" thickBot="1" x14ac:dyDescent="0.25">
      <c r="A432" s="262" t="s">
        <v>212</v>
      </c>
      <c r="B432" s="274">
        <f>SUM(B429:B431)</f>
        <v>0</v>
      </c>
      <c r="C432" s="275">
        <f>SUM(C429:C431)</f>
        <v>0</v>
      </c>
      <c r="D432" s="289">
        <f>SUM(D429:D431)</f>
        <v>0</v>
      </c>
      <c r="E432" s="289">
        <f>SUM(E429:E431)</f>
        <v>0</v>
      </c>
    </row>
    <row r="433" spans="1:5" ht="12" thickTop="1" x14ac:dyDescent="0.2">
      <c r="C433" s="273"/>
      <c r="D433" s="277"/>
      <c r="E433" s="277"/>
    </row>
    <row r="434" spans="1:5" x14ac:dyDescent="0.2">
      <c r="A434" s="270" t="s">
        <v>213</v>
      </c>
      <c r="C434" s="273"/>
      <c r="D434" s="277"/>
      <c r="E434" s="277"/>
    </row>
    <row r="435" spans="1:5" x14ac:dyDescent="0.2">
      <c r="A435" s="262"/>
      <c r="C435" s="273"/>
      <c r="D435" s="277"/>
      <c r="E435" s="277"/>
    </row>
    <row r="436" spans="1:5" ht="12" thickBot="1" x14ac:dyDescent="0.25">
      <c r="A436" s="262" t="s">
        <v>214</v>
      </c>
      <c r="B436" s="274">
        <f>B447</f>
        <v>0</v>
      </c>
      <c r="C436" s="275">
        <f>C447</f>
        <v>0</v>
      </c>
      <c r="D436" s="289">
        <f>D447</f>
        <v>0</v>
      </c>
      <c r="E436" s="289">
        <f>E447</f>
        <v>0</v>
      </c>
    </row>
    <row r="437" spans="1:5" ht="12" thickTop="1" x14ac:dyDescent="0.2">
      <c r="C437" s="273"/>
      <c r="D437" s="277"/>
      <c r="E437" s="277"/>
    </row>
    <row r="438" spans="1:5" x14ac:dyDescent="0.2">
      <c r="C438" s="273"/>
      <c r="D438" s="277"/>
      <c r="E438" s="277"/>
    </row>
    <row r="439" spans="1:5" ht="12" thickBot="1" x14ac:dyDescent="0.25">
      <c r="A439" s="262" t="s">
        <v>121</v>
      </c>
      <c r="B439" s="274">
        <f>B436+B432+B425+B406+B416</f>
        <v>1585660</v>
      </c>
      <c r="C439" s="275">
        <f>C436+C432+C425+C406+C416</f>
        <v>1535773.5911000001</v>
      </c>
      <c r="D439" s="276">
        <f>D436+D432+D425+D406+D416</f>
        <v>1625000</v>
      </c>
      <c r="E439" s="276">
        <f>E436+E432+E425+E406+E416</f>
        <v>1719400</v>
      </c>
    </row>
    <row r="440" spans="1:5" ht="12" thickTop="1" x14ac:dyDescent="0.2">
      <c r="C440" s="273"/>
      <c r="D440" s="277"/>
      <c r="E440" s="277"/>
    </row>
    <row r="441" spans="1:5" x14ac:dyDescent="0.2">
      <c r="A441" s="270" t="s">
        <v>213</v>
      </c>
      <c r="C441" s="273"/>
      <c r="D441" s="277"/>
      <c r="E441" s="277"/>
    </row>
    <row r="442" spans="1:5" x14ac:dyDescent="0.2">
      <c r="A442" s="262"/>
      <c r="C442" s="273"/>
      <c r="D442" s="277"/>
      <c r="E442" s="277"/>
    </row>
    <row r="443" spans="1:5" x14ac:dyDescent="0.2">
      <c r="A443" s="262" t="s">
        <v>250</v>
      </c>
      <c r="B443" s="272">
        <v>0</v>
      </c>
      <c r="C443" s="273">
        <v>0</v>
      </c>
      <c r="D443" s="277">
        <f t="shared" ref="D443:D445" si="54">ROUND(+C443*(1+D$1),-2)</f>
        <v>0</v>
      </c>
      <c r="E443" s="277">
        <f t="shared" ref="E443:E445" si="55">ROUND(+D443*(1+E$1),-2)</f>
        <v>0</v>
      </c>
    </row>
    <row r="444" spans="1:5" x14ac:dyDescent="0.2">
      <c r="A444" s="262" t="s">
        <v>251</v>
      </c>
      <c r="B444" s="272"/>
      <c r="C444" s="273">
        <f t="shared" ref="C444:C445" si="56">B444+B444*0.06</f>
        <v>0</v>
      </c>
      <c r="D444" s="277">
        <f t="shared" si="54"/>
        <v>0</v>
      </c>
      <c r="E444" s="277">
        <f t="shared" si="55"/>
        <v>0</v>
      </c>
    </row>
    <row r="445" spans="1:5" x14ac:dyDescent="0.2">
      <c r="A445" s="262" t="s">
        <v>252</v>
      </c>
      <c r="B445" s="272">
        <v>0</v>
      </c>
      <c r="C445" s="273">
        <f t="shared" si="56"/>
        <v>0</v>
      </c>
      <c r="D445" s="277">
        <f t="shared" si="54"/>
        <v>0</v>
      </c>
      <c r="E445" s="277">
        <f t="shared" si="55"/>
        <v>0</v>
      </c>
    </row>
    <row r="446" spans="1:5" x14ac:dyDescent="0.2">
      <c r="B446" s="272"/>
      <c r="C446" s="273"/>
      <c r="D446" s="277"/>
      <c r="E446" s="277"/>
    </row>
    <row r="447" spans="1:5" ht="12" thickBot="1" x14ac:dyDescent="0.25">
      <c r="A447" s="262" t="s">
        <v>129</v>
      </c>
      <c r="B447" s="274">
        <f>SUM(B443:B446)</f>
        <v>0</v>
      </c>
      <c r="C447" s="275">
        <f>SUM(C443:C446)</f>
        <v>0</v>
      </c>
      <c r="D447" s="276">
        <f>SUM(D443:D446)</f>
        <v>0</v>
      </c>
      <c r="E447" s="276">
        <f>SUM(E443:E446)</f>
        <v>0</v>
      </c>
    </row>
    <row r="448" spans="1:5" ht="12" thickTop="1" x14ac:dyDescent="0.2">
      <c r="C448" s="273"/>
      <c r="D448" s="277"/>
      <c r="E448" s="277"/>
    </row>
    <row r="449" spans="1:5" x14ac:dyDescent="0.2">
      <c r="C449" s="273"/>
      <c r="D449" s="277"/>
      <c r="E449" s="277"/>
    </row>
    <row r="450" spans="1:5" x14ac:dyDescent="0.2">
      <c r="A450" s="262"/>
      <c r="B450" s="263" t="s">
        <v>522</v>
      </c>
      <c r="C450" s="333" t="s">
        <v>522</v>
      </c>
      <c r="D450" s="277"/>
      <c r="E450" s="277"/>
    </row>
    <row r="451" spans="1:5" x14ac:dyDescent="0.2">
      <c r="A451" s="262"/>
      <c r="B451" s="263" t="str">
        <f t="shared" ref="B451:D452" si="57">B8</f>
        <v xml:space="preserve"> Budget</v>
      </c>
      <c r="C451" s="299" t="str">
        <f t="shared" si="57"/>
        <v>Budget</v>
      </c>
      <c r="D451" s="300" t="str">
        <f t="shared" si="57"/>
        <v>Budget</v>
      </c>
      <c r="E451" s="300" t="s">
        <v>207</v>
      </c>
    </row>
    <row r="452" spans="1:5" x14ac:dyDescent="0.2">
      <c r="B452" s="263" t="str">
        <f t="shared" si="57"/>
        <v>2016/2017</v>
      </c>
      <c r="C452" s="299" t="str">
        <f t="shared" si="57"/>
        <v>2017/2018</v>
      </c>
      <c r="D452" s="300" t="str">
        <f t="shared" si="57"/>
        <v>2018/2019</v>
      </c>
      <c r="E452" s="302" t="str">
        <f>E9</f>
        <v>2019/2020</v>
      </c>
    </row>
    <row r="453" spans="1:5" x14ac:dyDescent="0.2">
      <c r="A453" s="262"/>
      <c r="C453" s="273"/>
      <c r="D453" s="277"/>
      <c r="E453" s="277"/>
    </row>
    <row r="454" spans="1:5" ht="15.75" x14ac:dyDescent="0.25">
      <c r="A454" s="269" t="s">
        <v>135</v>
      </c>
      <c r="C454" s="273"/>
      <c r="D454" s="277"/>
      <c r="E454" s="277"/>
    </row>
    <row r="455" spans="1:5" x14ac:dyDescent="0.2">
      <c r="A455" s="262"/>
      <c r="C455" s="273"/>
      <c r="D455" s="277"/>
      <c r="E455" s="277"/>
    </row>
    <row r="456" spans="1:5" x14ac:dyDescent="0.2">
      <c r="A456" s="270" t="s">
        <v>208</v>
      </c>
      <c r="C456" s="273"/>
      <c r="D456" s="277"/>
      <c r="E456" s="277"/>
    </row>
    <row r="457" spans="1:5" x14ac:dyDescent="0.2">
      <c r="A457" s="262"/>
      <c r="C457" s="273"/>
      <c r="D457" s="277"/>
      <c r="E457" s="277"/>
    </row>
    <row r="458" spans="1:5" x14ac:dyDescent="0.2">
      <c r="A458" s="262" t="s">
        <v>161</v>
      </c>
      <c r="B458" s="272">
        <v>1831118</v>
      </c>
      <c r="C458" s="273">
        <f>REMUNERATION!F65</f>
        <v>1874948.16</v>
      </c>
      <c r="D458" s="277">
        <f t="shared" ref="D458:D469" si="58">ROUND(+C458*(1+D$1),-2)</f>
        <v>1983700</v>
      </c>
      <c r="E458" s="277">
        <f t="shared" ref="E458:E469" si="59">ROUND(+D458*(1+E$1),-2)</f>
        <v>2098800</v>
      </c>
    </row>
    <row r="459" spans="1:5" x14ac:dyDescent="0.2">
      <c r="A459" s="262" t="s">
        <v>195</v>
      </c>
      <c r="B459" s="272">
        <v>152593</v>
      </c>
      <c r="C459" s="273">
        <f>REMUNERATION!N65</f>
        <v>156245.68000000002</v>
      </c>
      <c r="D459" s="277">
        <f t="shared" si="58"/>
        <v>165300</v>
      </c>
      <c r="E459" s="277">
        <f t="shared" si="59"/>
        <v>174900</v>
      </c>
    </row>
    <row r="460" spans="1:5" x14ac:dyDescent="0.2">
      <c r="A460" s="262" t="s">
        <v>157</v>
      </c>
      <c r="B460" s="272">
        <v>0</v>
      </c>
      <c r="C460" s="273">
        <v>0</v>
      </c>
      <c r="D460" s="277">
        <f t="shared" si="58"/>
        <v>0</v>
      </c>
      <c r="E460" s="277">
        <f t="shared" si="59"/>
        <v>0</v>
      </c>
    </row>
    <row r="461" spans="1:5" x14ac:dyDescent="0.2">
      <c r="A461" s="262" t="s">
        <v>162</v>
      </c>
      <c r="B461" s="272">
        <v>58800</v>
      </c>
      <c r="C461" s="273">
        <f>REMUNERATION!I65</f>
        <v>58800</v>
      </c>
      <c r="D461" s="277">
        <f t="shared" si="58"/>
        <v>62200</v>
      </c>
      <c r="E461" s="277">
        <f t="shared" si="59"/>
        <v>65800</v>
      </c>
    </row>
    <row r="462" spans="1:5" x14ac:dyDescent="0.2">
      <c r="A462" s="262" t="s">
        <v>163</v>
      </c>
      <c r="B462" s="272">
        <v>308327</v>
      </c>
      <c r="C462" s="273">
        <f>REMUNERATION!H65</f>
        <v>347925.48000000004</v>
      </c>
      <c r="D462" s="277">
        <f t="shared" si="58"/>
        <v>368100</v>
      </c>
      <c r="E462" s="277">
        <f t="shared" si="59"/>
        <v>389400</v>
      </c>
    </row>
    <row r="463" spans="1:5" x14ac:dyDescent="0.2">
      <c r="A463" s="262" t="s">
        <v>164</v>
      </c>
      <c r="B463" s="272">
        <v>10800</v>
      </c>
      <c r="C463" s="273">
        <f>REMUNERATION!E64</f>
        <v>10800</v>
      </c>
      <c r="D463" s="277">
        <f t="shared" si="58"/>
        <v>11400</v>
      </c>
      <c r="E463" s="277">
        <f t="shared" si="59"/>
        <v>12100</v>
      </c>
    </row>
    <row r="464" spans="1:5" x14ac:dyDescent="0.2">
      <c r="A464" s="262" t="s">
        <v>133</v>
      </c>
      <c r="B464" s="272">
        <v>402846</v>
      </c>
      <c r="C464" s="273">
        <f>REMUNERATION!G65</f>
        <v>412488.5952000001</v>
      </c>
      <c r="D464" s="277">
        <f t="shared" si="58"/>
        <v>436400</v>
      </c>
      <c r="E464" s="277">
        <f t="shared" si="59"/>
        <v>461700</v>
      </c>
    </row>
    <row r="465" spans="1:5" x14ac:dyDescent="0.2">
      <c r="A465" s="262" t="s">
        <v>165</v>
      </c>
      <c r="B465" s="272">
        <v>0</v>
      </c>
      <c r="C465" s="273">
        <v>0</v>
      </c>
      <c r="D465" s="277">
        <f t="shared" si="58"/>
        <v>0</v>
      </c>
      <c r="E465" s="277">
        <f t="shared" si="59"/>
        <v>0</v>
      </c>
    </row>
    <row r="466" spans="1:5" x14ac:dyDescent="0.2">
      <c r="A466" s="283" t="s">
        <v>4</v>
      </c>
      <c r="B466" s="272">
        <v>0</v>
      </c>
      <c r="C466" s="273">
        <v>0</v>
      </c>
      <c r="D466" s="277">
        <f t="shared" si="58"/>
        <v>0</v>
      </c>
      <c r="E466" s="277">
        <f t="shared" si="59"/>
        <v>0</v>
      </c>
    </row>
    <row r="467" spans="1:5" x14ac:dyDescent="0.2">
      <c r="A467" s="262" t="s">
        <v>166</v>
      </c>
      <c r="B467" s="272">
        <v>13482</v>
      </c>
      <c r="C467" s="273">
        <f>REMUNERATION!J65</f>
        <v>13482</v>
      </c>
      <c r="D467" s="277">
        <f t="shared" si="58"/>
        <v>14300</v>
      </c>
      <c r="E467" s="277">
        <f t="shared" si="59"/>
        <v>15100</v>
      </c>
    </row>
    <row r="468" spans="1:5" x14ac:dyDescent="0.2">
      <c r="A468" s="262" t="s">
        <v>167</v>
      </c>
      <c r="B468" s="272">
        <v>20425</v>
      </c>
      <c r="C468" s="273">
        <f>REMUNERATION!M65</f>
        <v>20899.938400000003</v>
      </c>
      <c r="D468" s="277">
        <f t="shared" si="58"/>
        <v>22100</v>
      </c>
      <c r="E468" s="277">
        <v>23300</v>
      </c>
    </row>
    <row r="469" spans="1:5" x14ac:dyDescent="0.2">
      <c r="A469" s="262" t="s">
        <v>168</v>
      </c>
      <c r="B469" s="272">
        <v>651</v>
      </c>
      <c r="C469" s="273">
        <f>REMUNERATION!L65</f>
        <v>651</v>
      </c>
      <c r="D469" s="277">
        <f t="shared" si="58"/>
        <v>700</v>
      </c>
      <c r="E469" s="277">
        <f t="shared" si="59"/>
        <v>700</v>
      </c>
    </row>
    <row r="470" spans="1:5" x14ac:dyDescent="0.2">
      <c r="B470" s="272"/>
      <c r="C470" s="273"/>
      <c r="D470" s="277"/>
      <c r="E470" s="277"/>
    </row>
    <row r="471" spans="1:5" ht="12" thickBot="1" x14ac:dyDescent="0.25">
      <c r="A471" s="262" t="s">
        <v>209</v>
      </c>
      <c r="B471" s="274">
        <f>SUM(B458:B470)</f>
        <v>2799042</v>
      </c>
      <c r="C471" s="275">
        <f>SUM(C458:C470)</f>
        <v>2896240.8535999996</v>
      </c>
      <c r="D471" s="303">
        <f>SUM(D458:D470)</f>
        <v>3064200</v>
      </c>
      <c r="E471" s="303">
        <f>SUM(E458:E470)</f>
        <v>3241800</v>
      </c>
    </row>
    <row r="472" spans="1:5" ht="12" thickTop="1" x14ac:dyDescent="0.2">
      <c r="C472" s="273"/>
      <c r="D472" s="277"/>
      <c r="E472" s="277"/>
    </row>
    <row r="473" spans="1:5" x14ac:dyDescent="0.2">
      <c r="A473" s="278" t="s">
        <v>98</v>
      </c>
      <c r="C473" s="273"/>
      <c r="D473" s="277"/>
      <c r="E473" s="277"/>
    </row>
    <row r="474" spans="1:5" x14ac:dyDescent="0.2">
      <c r="A474" s="262"/>
      <c r="C474" s="273"/>
      <c r="D474" s="277"/>
      <c r="E474" s="277"/>
    </row>
    <row r="475" spans="1:5" x14ac:dyDescent="0.2">
      <c r="A475" s="262" t="s">
        <v>223</v>
      </c>
      <c r="B475" s="272">
        <v>3056119</v>
      </c>
      <c r="C475" s="273">
        <f>'COUNCILLORS REMUNERATION'!F85</f>
        <v>3369588.3600000003</v>
      </c>
      <c r="D475" s="277">
        <f t="shared" ref="D475:D480" si="60">ROUND(+C475*(1+D$1),-2)</f>
        <v>3565000</v>
      </c>
      <c r="E475" s="277">
        <f t="shared" ref="E475:E480" si="61">ROUND(+D475*(1+E$1),-2)</f>
        <v>3771800</v>
      </c>
    </row>
    <row r="476" spans="1:5" x14ac:dyDescent="0.2">
      <c r="A476" s="262" t="s">
        <v>224</v>
      </c>
      <c r="B476" s="272">
        <v>1210020</v>
      </c>
      <c r="C476" s="273">
        <f>'COUNCILLORS REMUNERATION'!L85</f>
        <v>1173936</v>
      </c>
      <c r="D476" s="277">
        <f t="shared" si="60"/>
        <v>1242000</v>
      </c>
      <c r="E476" s="277">
        <f t="shared" si="61"/>
        <v>1314000</v>
      </c>
    </row>
    <row r="477" spans="1:5" x14ac:dyDescent="0.2">
      <c r="A477" s="262" t="s">
        <v>225</v>
      </c>
      <c r="B477" s="272">
        <v>130353</v>
      </c>
      <c r="C477" s="273">
        <f>'COUNCILLORS REMUNERATION'!K85</f>
        <v>58800</v>
      </c>
      <c r="D477" s="277">
        <f t="shared" si="60"/>
        <v>62200</v>
      </c>
      <c r="E477" s="277">
        <f t="shared" si="61"/>
        <v>65800</v>
      </c>
    </row>
    <row r="478" spans="1:5" x14ac:dyDescent="0.2">
      <c r="A478" s="262" t="s">
        <v>103</v>
      </c>
      <c r="B478" s="272">
        <v>159600</v>
      </c>
      <c r="C478" s="273">
        <f>'COUNCILLORS REMUNERATION'!G85</f>
        <v>146076</v>
      </c>
      <c r="D478" s="277">
        <f t="shared" si="60"/>
        <v>154500</v>
      </c>
      <c r="E478" s="277">
        <f t="shared" si="61"/>
        <v>163500</v>
      </c>
    </row>
    <row r="479" spans="1:5" x14ac:dyDescent="0.2">
      <c r="A479" s="262" t="s">
        <v>148</v>
      </c>
      <c r="B479" s="272">
        <v>325164</v>
      </c>
      <c r="C479" s="273">
        <f>'COUNCILLORS REMUNERATION'!J85</f>
        <v>347925.48000000004</v>
      </c>
      <c r="D479" s="277">
        <f t="shared" si="60"/>
        <v>368100</v>
      </c>
      <c r="E479" s="277">
        <f t="shared" si="61"/>
        <v>389400</v>
      </c>
    </row>
    <row r="480" spans="1:5" x14ac:dyDescent="0.2">
      <c r="A480" s="262" t="s">
        <v>153</v>
      </c>
      <c r="B480" s="272">
        <v>448728</v>
      </c>
      <c r="C480" s="273">
        <f>'COUNCILLORS REMUNERATION'!I85</f>
        <v>256116</v>
      </c>
      <c r="D480" s="277">
        <f t="shared" si="60"/>
        <v>271000</v>
      </c>
      <c r="E480" s="277">
        <f t="shared" si="61"/>
        <v>286700</v>
      </c>
    </row>
    <row r="481" spans="1:5" ht="12" thickBot="1" x14ac:dyDescent="0.25">
      <c r="A481" s="262"/>
      <c r="B481" s="274">
        <f>SUM(B475:B480)</f>
        <v>5329984</v>
      </c>
      <c r="C481" s="275">
        <f>SUM(C475:C480)</f>
        <v>5352441.8400000008</v>
      </c>
      <c r="D481" s="289">
        <f>SUM(D475:D480)</f>
        <v>5662800</v>
      </c>
      <c r="E481" s="289">
        <f>SUM(E475:E480)</f>
        <v>5991200</v>
      </c>
    </row>
    <row r="482" spans="1:5" ht="12" thickTop="1" x14ac:dyDescent="0.2">
      <c r="A482" s="262"/>
      <c r="C482" s="273"/>
      <c r="D482" s="277"/>
      <c r="E482" s="277"/>
    </row>
    <row r="483" spans="1:5" x14ac:dyDescent="0.2">
      <c r="A483" s="270" t="s">
        <v>74</v>
      </c>
      <c r="C483" s="273"/>
      <c r="D483" s="277"/>
      <c r="E483" s="277"/>
    </row>
    <row r="484" spans="1:5" x14ac:dyDescent="0.2">
      <c r="A484" s="262"/>
      <c r="C484" s="273"/>
      <c r="D484" s="277"/>
      <c r="E484" s="277"/>
    </row>
    <row r="485" spans="1:5" x14ac:dyDescent="0.2">
      <c r="A485" s="262" t="s">
        <v>141</v>
      </c>
      <c r="B485" s="272">
        <v>11109</v>
      </c>
      <c r="C485" s="273">
        <v>11109</v>
      </c>
      <c r="D485" s="277">
        <f t="shared" ref="D485:D488" si="62">ROUND(+C485*(1+D$1),-2)</f>
        <v>11800</v>
      </c>
      <c r="E485" s="277">
        <f t="shared" ref="E485:E488" si="63">ROUND(+D485*(1+E$1),-2)</f>
        <v>12500</v>
      </c>
    </row>
    <row r="486" spans="1:5" x14ac:dyDescent="0.2">
      <c r="A486" s="262" t="s">
        <v>159</v>
      </c>
      <c r="B486" s="272">
        <v>24084</v>
      </c>
      <c r="C486" s="273">
        <v>24084</v>
      </c>
      <c r="D486" s="277">
        <f t="shared" si="62"/>
        <v>25500</v>
      </c>
      <c r="E486" s="277">
        <f t="shared" si="63"/>
        <v>27000</v>
      </c>
    </row>
    <row r="487" spans="1:5" x14ac:dyDescent="0.2">
      <c r="A487" s="248" t="s">
        <v>265</v>
      </c>
      <c r="B487" s="272">
        <v>34549</v>
      </c>
      <c r="C487" s="273">
        <v>0</v>
      </c>
      <c r="D487" s="277">
        <f t="shared" si="62"/>
        <v>0</v>
      </c>
      <c r="E487" s="277">
        <f t="shared" ref="E487" si="64">ROUND(+D487*(1+E$1),-2)</f>
        <v>0</v>
      </c>
    </row>
    <row r="488" spans="1:5" x14ac:dyDescent="0.2">
      <c r="A488" s="262" t="s">
        <v>155</v>
      </c>
      <c r="B488" s="272">
        <v>360000</v>
      </c>
      <c r="C488" s="273">
        <v>360000</v>
      </c>
      <c r="D488" s="277">
        <f t="shared" si="62"/>
        <v>380900</v>
      </c>
      <c r="E488" s="277">
        <f t="shared" si="63"/>
        <v>403000</v>
      </c>
    </row>
    <row r="489" spans="1:5" ht="12" thickBot="1" x14ac:dyDescent="0.25">
      <c r="A489" s="262" t="s">
        <v>210</v>
      </c>
      <c r="B489" s="274">
        <f>SUM(B485:B488)</f>
        <v>429742</v>
      </c>
      <c r="C489" s="275">
        <f>SUM(C485:C488)</f>
        <v>395193</v>
      </c>
      <c r="D489" s="289">
        <f>SUM(D485:D488)</f>
        <v>418200</v>
      </c>
      <c r="E489" s="289">
        <f>SUM(E485:E488)</f>
        <v>442500</v>
      </c>
    </row>
    <row r="490" spans="1:5" ht="12" thickTop="1" x14ac:dyDescent="0.2">
      <c r="C490" s="273"/>
      <c r="D490" s="277"/>
      <c r="E490" s="277"/>
    </row>
    <row r="491" spans="1:5" x14ac:dyDescent="0.2">
      <c r="A491" s="270" t="s">
        <v>211</v>
      </c>
      <c r="C491" s="273"/>
      <c r="D491" s="277"/>
      <c r="E491" s="277"/>
    </row>
    <row r="492" spans="1:5" x14ac:dyDescent="0.2">
      <c r="A492" s="262"/>
      <c r="C492" s="273"/>
      <c r="D492" s="277"/>
      <c r="E492" s="277"/>
    </row>
    <row r="493" spans="1:5" x14ac:dyDescent="0.2">
      <c r="A493" s="262" t="s">
        <v>244</v>
      </c>
      <c r="C493" s="273">
        <f t="shared" ref="C493:C495" si="65">B493+B493*0.06</f>
        <v>0</v>
      </c>
      <c r="D493" s="277">
        <f>ROUND(+C493*(1+D$1),-2)</f>
        <v>0</v>
      </c>
      <c r="E493" s="277">
        <f t="shared" ref="E493:E495" si="66">ROUND(+D493*(1+E$1),-2)</f>
        <v>0</v>
      </c>
    </row>
    <row r="494" spans="1:5" x14ac:dyDescent="0.2">
      <c r="A494" s="262" t="s">
        <v>245</v>
      </c>
      <c r="C494" s="273">
        <f t="shared" si="65"/>
        <v>0</v>
      </c>
      <c r="D494" s="277">
        <f>ROUND(+C494*(1+D$1),-2)</f>
        <v>0</v>
      </c>
      <c r="E494" s="277">
        <f t="shared" si="66"/>
        <v>0</v>
      </c>
    </row>
    <row r="495" spans="1:5" x14ac:dyDescent="0.2">
      <c r="A495" s="262" t="s">
        <v>247</v>
      </c>
      <c r="C495" s="273">
        <f t="shared" si="65"/>
        <v>0</v>
      </c>
      <c r="D495" s="277">
        <f>ROUND(+C495*(1+D$1),-2)</f>
        <v>0</v>
      </c>
      <c r="E495" s="277">
        <f t="shared" si="66"/>
        <v>0</v>
      </c>
    </row>
    <row r="496" spans="1:5" x14ac:dyDescent="0.2">
      <c r="C496" s="273"/>
      <c r="D496" s="277"/>
      <c r="E496" s="277"/>
    </row>
    <row r="497" spans="1:5" ht="12" thickBot="1" x14ac:dyDescent="0.25">
      <c r="A497" s="262" t="s">
        <v>212</v>
      </c>
      <c r="B497" s="276">
        <f>SUM(B493:B496)</f>
        <v>0</v>
      </c>
      <c r="C497" s="275">
        <f>SUM(C493:C496)</f>
        <v>0</v>
      </c>
      <c r="D497" s="289">
        <f>SUM(D493:D496)</f>
        <v>0</v>
      </c>
      <c r="E497" s="289">
        <f>SUM(E493:E496)</f>
        <v>0</v>
      </c>
    </row>
    <row r="498" spans="1:5" ht="12" thickTop="1" x14ac:dyDescent="0.2">
      <c r="C498" s="273"/>
      <c r="D498" s="277"/>
      <c r="E498" s="277"/>
    </row>
    <row r="499" spans="1:5" x14ac:dyDescent="0.2">
      <c r="A499" s="270" t="s">
        <v>213</v>
      </c>
      <c r="C499" s="273"/>
      <c r="D499" s="277"/>
      <c r="E499" s="277"/>
    </row>
    <row r="500" spans="1:5" x14ac:dyDescent="0.2">
      <c r="A500" s="262"/>
      <c r="C500" s="273"/>
      <c r="D500" s="277"/>
      <c r="E500" s="277"/>
    </row>
    <row r="501" spans="1:5" ht="12" thickBot="1" x14ac:dyDescent="0.25">
      <c r="A501" s="262" t="s">
        <v>214</v>
      </c>
      <c r="B501" s="274">
        <f>B512</f>
        <v>0</v>
      </c>
      <c r="C501" s="275">
        <f>C512</f>
        <v>0</v>
      </c>
      <c r="D501" s="289">
        <f>D512</f>
        <v>0</v>
      </c>
      <c r="E501" s="289">
        <f>E512</f>
        <v>0</v>
      </c>
    </row>
    <row r="502" spans="1:5" ht="12" thickTop="1" x14ac:dyDescent="0.2">
      <c r="C502" s="273"/>
      <c r="D502" s="277"/>
      <c r="E502" s="277"/>
    </row>
    <row r="503" spans="1:5" x14ac:dyDescent="0.2">
      <c r="C503" s="273"/>
      <c r="D503" s="277"/>
      <c r="E503" s="277"/>
    </row>
    <row r="504" spans="1:5" ht="12" thickBot="1" x14ac:dyDescent="0.25">
      <c r="A504" s="262" t="s">
        <v>121</v>
      </c>
      <c r="B504" s="274">
        <f>B501+B497+B489+B471+B481</f>
        <v>8558768</v>
      </c>
      <c r="C504" s="275">
        <f>C501+C497+C489+C471+C481</f>
        <v>8643875.6936000008</v>
      </c>
      <c r="D504" s="276">
        <f>D501+D497+D489+D471+D481</f>
        <v>9145200</v>
      </c>
      <c r="E504" s="276">
        <f>E501+E497+E489+E471+E481</f>
        <v>9675500</v>
      </c>
    </row>
    <row r="505" spans="1:5" ht="12" thickTop="1" x14ac:dyDescent="0.2">
      <c r="C505" s="273"/>
      <c r="D505" s="277"/>
      <c r="E505" s="277"/>
    </row>
    <row r="506" spans="1:5" x14ac:dyDescent="0.2">
      <c r="A506" s="270" t="s">
        <v>213</v>
      </c>
      <c r="C506" s="273"/>
      <c r="D506" s="277"/>
      <c r="E506" s="277"/>
    </row>
    <row r="507" spans="1:5" x14ac:dyDescent="0.2">
      <c r="A507" s="262"/>
      <c r="C507" s="273"/>
      <c r="D507" s="277"/>
      <c r="E507" s="277"/>
    </row>
    <row r="508" spans="1:5" x14ac:dyDescent="0.2">
      <c r="A508" s="262" t="s">
        <v>250</v>
      </c>
      <c r="B508" s="272">
        <v>0</v>
      </c>
      <c r="C508" s="273">
        <f t="shared" ref="C508:C510" si="67">B508+B508*0.06</f>
        <v>0</v>
      </c>
      <c r="D508" s="277">
        <f>ROUND(+C508*(1+D$1),-2)</f>
        <v>0</v>
      </c>
      <c r="E508" s="277">
        <f t="shared" ref="E508:E510" si="68">ROUND(+D508*(1+E$1),-2)</f>
        <v>0</v>
      </c>
    </row>
    <row r="509" spans="1:5" x14ac:dyDescent="0.2">
      <c r="A509" s="262" t="s">
        <v>251</v>
      </c>
      <c r="C509" s="273">
        <f t="shared" si="67"/>
        <v>0</v>
      </c>
      <c r="D509" s="277">
        <f>ROUND(+C509*(1+D$1),-2)</f>
        <v>0</v>
      </c>
      <c r="E509" s="277">
        <f t="shared" si="68"/>
        <v>0</v>
      </c>
    </row>
    <row r="510" spans="1:5" x14ac:dyDescent="0.2">
      <c r="A510" s="262" t="s">
        <v>252</v>
      </c>
      <c r="C510" s="273">
        <f t="shared" si="67"/>
        <v>0</v>
      </c>
      <c r="D510" s="277">
        <f>ROUND(+C510*(1+D$1),-2)</f>
        <v>0</v>
      </c>
      <c r="E510" s="277">
        <f t="shared" si="68"/>
        <v>0</v>
      </c>
    </row>
    <row r="511" spans="1:5" x14ac:dyDescent="0.2">
      <c r="C511" s="273"/>
      <c r="D511" s="277"/>
      <c r="E511" s="277"/>
    </row>
    <row r="512" spans="1:5" ht="12" thickBot="1" x14ac:dyDescent="0.25">
      <c r="A512" s="262" t="s">
        <v>129</v>
      </c>
      <c r="B512" s="276">
        <f>SUM(B508:B510)</f>
        <v>0</v>
      </c>
      <c r="C512" s="275">
        <f>SUM(C508:C510)</f>
        <v>0</v>
      </c>
      <c r="D512" s="289">
        <f>SUM(D508:D510)</f>
        <v>0</v>
      </c>
      <c r="E512" s="289">
        <f>SUM(E508:E510)</f>
        <v>0</v>
      </c>
    </row>
    <row r="513" spans="1:5" ht="12" thickTop="1" x14ac:dyDescent="0.2">
      <c r="A513" s="262"/>
      <c r="C513" s="273"/>
      <c r="D513" s="277"/>
      <c r="E513" s="277"/>
    </row>
    <row r="514" spans="1:5" x14ac:dyDescent="0.2">
      <c r="A514" s="262"/>
      <c r="B514" s="263" t="s">
        <v>522</v>
      </c>
      <c r="C514" s="333" t="s">
        <v>522</v>
      </c>
      <c r="D514" s="277"/>
      <c r="E514" s="277"/>
    </row>
    <row r="515" spans="1:5" x14ac:dyDescent="0.2">
      <c r="A515" s="262"/>
      <c r="B515" s="263" t="str">
        <f t="shared" ref="B515:D516" si="69">B8</f>
        <v xml:space="preserve"> Budget</v>
      </c>
      <c r="C515" s="299" t="str">
        <f t="shared" si="69"/>
        <v>Budget</v>
      </c>
      <c r="D515" s="300" t="str">
        <f t="shared" si="69"/>
        <v>Budget</v>
      </c>
      <c r="E515" s="300" t="s">
        <v>207</v>
      </c>
    </row>
    <row r="516" spans="1:5" x14ac:dyDescent="0.2">
      <c r="B516" s="263" t="str">
        <f t="shared" si="69"/>
        <v>2016/2017</v>
      </c>
      <c r="C516" s="299" t="str">
        <f t="shared" si="69"/>
        <v>2017/2018</v>
      </c>
      <c r="D516" s="300" t="str">
        <f t="shared" si="69"/>
        <v>2018/2019</v>
      </c>
      <c r="E516" s="302" t="str">
        <f>E9</f>
        <v>2019/2020</v>
      </c>
    </row>
    <row r="517" spans="1:5" x14ac:dyDescent="0.2">
      <c r="A517" s="262"/>
      <c r="C517" s="273"/>
      <c r="D517" s="277"/>
      <c r="E517" s="277"/>
    </row>
    <row r="518" spans="1:5" ht="15.75" x14ac:dyDescent="0.25">
      <c r="A518" s="269" t="s">
        <v>100</v>
      </c>
      <c r="C518" s="273"/>
      <c r="D518" s="277"/>
      <c r="E518" s="277"/>
    </row>
    <row r="519" spans="1:5" x14ac:dyDescent="0.2">
      <c r="A519" s="262"/>
      <c r="C519" s="273"/>
      <c r="D519" s="277"/>
      <c r="E519" s="277"/>
    </row>
    <row r="520" spans="1:5" x14ac:dyDescent="0.2">
      <c r="A520" s="270" t="s">
        <v>208</v>
      </c>
      <c r="C520" s="273"/>
      <c r="D520" s="277"/>
      <c r="E520" s="277"/>
    </row>
    <row r="521" spans="1:5" x14ac:dyDescent="0.2">
      <c r="A521" s="262"/>
      <c r="C521" s="273"/>
      <c r="D521" s="277"/>
      <c r="E521" s="277"/>
    </row>
    <row r="522" spans="1:5" x14ac:dyDescent="0.2">
      <c r="A522" s="262" t="s">
        <v>161</v>
      </c>
      <c r="B522" s="272">
        <v>10590581</v>
      </c>
      <c r="C522" s="273">
        <f>REMUNERATION!F110</f>
        <v>11520463.160000006</v>
      </c>
      <c r="D522" s="277">
        <f>ROUND(+C522*(1+D$1),-2)</f>
        <v>12188700</v>
      </c>
      <c r="E522" s="277">
        <f t="shared" ref="E522:E535" si="70">ROUND(+D522*(1+E$1),-2)</f>
        <v>12895600</v>
      </c>
    </row>
    <row r="523" spans="1:5" x14ac:dyDescent="0.2">
      <c r="A523" s="262" t="s">
        <v>195</v>
      </c>
      <c r="B523" s="272">
        <v>818799</v>
      </c>
      <c r="C523" s="273">
        <f>REMUNERATION!N110</f>
        <v>903729.84666666703</v>
      </c>
      <c r="D523" s="277">
        <f t="shared" ref="D523:D535" si="71">ROUND(+C523*(1+D$1),-2)</f>
        <v>956100</v>
      </c>
      <c r="E523" s="277">
        <f t="shared" si="70"/>
        <v>1011600</v>
      </c>
    </row>
    <row r="524" spans="1:5" x14ac:dyDescent="0.2">
      <c r="A524" s="262" t="s">
        <v>157</v>
      </c>
      <c r="B524" s="272">
        <v>120000</v>
      </c>
      <c r="C524" s="273">
        <f>REMUNERATION!O110</f>
        <v>150000</v>
      </c>
      <c r="D524" s="277">
        <f t="shared" si="71"/>
        <v>158700</v>
      </c>
      <c r="E524" s="277">
        <f t="shared" si="70"/>
        <v>167900</v>
      </c>
    </row>
    <row r="525" spans="1:5" x14ac:dyDescent="0.2">
      <c r="A525" s="262" t="s">
        <v>162</v>
      </c>
      <c r="B525" s="272">
        <v>193200</v>
      </c>
      <c r="C525" s="273">
        <f>REMUNERATION!I110</f>
        <v>210000</v>
      </c>
      <c r="D525" s="277">
        <f t="shared" si="71"/>
        <v>222200</v>
      </c>
      <c r="E525" s="277">
        <f t="shared" si="70"/>
        <v>235100</v>
      </c>
    </row>
    <row r="526" spans="1:5" x14ac:dyDescent="0.2">
      <c r="A526" s="262" t="s">
        <v>163</v>
      </c>
      <c r="B526" s="272">
        <v>1056886</v>
      </c>
      <c r="C526" s="273">
        <f>REMUNERATION!H110</f>
        <v>1292294.6399999997</v>
      </c>
      <c r="D526" s="277">
        <f t="shared" si="71"/>
        <v>1367200</v>
      </c>
      <c r="E526" s="277">
        <f t="shared" si="70"/>
        <v>1446500</v>
      </c>
    </row>
    <row r="527" spans="1:5" x14ac:dyDescent="0.2">
      <c r="A527" s="262" t="s">
        <v>164</v>
      </c>
      <c r="B527" s="272">
        <v>50192</v>
      </c>
      <c r="C527" s="273">
        <f>REMUNERATION!E109</f>
        <v>50192</v>
      </c>
      <c r="D527" s="277">
        <f t="shared" si="71"/>
        <v>53100</v>
      </c>
      <c r="E527" s="277">
        <f t="shared" si="70"/>
        <v>56200</v>
      </c>
    </row>
    <row r="528" spans="1:5" x14ac:dyDescent="0.2">
      <c r="A528" s="262" t="s">
        <v>275</v>
      </c>
      <c r="B528" s="272">
        <v>2808</v>
      </c>
      <c r="C528" s="273">
        <v>0</v>
      </c>
      <c r="D528" s="277">
        <f t="shared" si="71"/>
        <v>0</v>
      </c>
      <c r="E528" s="277">
        <f t="shared" ref="E528:E530" si="72">ROUND(+D528*(1+E$1),-2)</f>
        <v>0</v>
      </c>
    </row>
    <row r="529" spans="1:5" x14ac:dyDescent="0.2">
      <c r="A529" s="262" t="s">
        <v>4</v>
      </c>
      <c r="B529" s="272">
        <v>0</v>
      </c>
      <c r="C529" s="273">
        <v>0</v>
      </c>
      <c r="D529" s="277">
        <f t="shared" si="71"/>
        <v>0</v>
      </c>
      <c r="E529" s="277">
        <f t="shared" si="72"/>
        <v>0</v>
      </c>
    </row>
    <row r="530" spans="1:5" x14ac:dyDescent="0.2">
      <c r="A530" s="262" t="s">
        <v>330</v>
      </c>
      <c r="B530" s="272">
        <v>0</v>
      </c>
      <c r="C530" s="273">
        <v>0</v>
      </c>
      <c r="D530" s="277">
        <f t="shared" si="71"/>
        <v>0</v>
      </c>
      <c r="E530" s="277">
        <f t="shared" si="72"/>
        <v>0</v>
      </c>
    </row>
    <row r="531" spans="1:5" x14ac:dyDescent="0.2">
      <c r="A531" s="262" t="s">
        <v>133</v>
      </c>
      <c r="B531" s="272">
        <v>2170564</v>
      </c>
      <c r="C531" s="273">
        <f>REMUNERATION!G110</f>
        <v>2393291.7952000005</v>
      </c>
      <c r="D531" s="277">
        <f t="shared" si="71"/>
        <v>2532100</v>
      </c>
      <c r="E531" s="277">
        <f t="shared" si="70"/>
        <v>2679000</v>
      </c>
    </row>
    <row r="532" spans="1:5" x14ac:dyDescent="0.2">
      <c r="A532" s="262" t="s">
        <v>165</v>
      </c>
      <c r="B532" s="272">
        <v>2183520</v>
      </c>
      <c r="C532" s="273">
        <f>REMUNERATION!K110</f>
        <v>2199120</v>
      </c>
      <c r="D532" s="277">
        <f t="shared" si="71"/>
        <v>2326700</v>
      </c>
      <c r="E532" s="277">
        <f t="shared" si="70"/>
        <v>2461600</v>
      </c>
    </row>
    <row r="533" spans="1:5" x14ac:dyDescent="0.2">
      <c r="A533" s="262" t="s">
        <v>166</v>
      </c>
      <c r="B533" s="272">
        <v>46224</v>
      </c>
      <c r="C533" s="273">
        <f>REMUNERATION!J110</f>
        <v>50076</v>
      </c>
      <c r="D533" s="277">
        <f t="shared" si="71"/>
        <v>53000</v>
      </c>
      <c r="E533" s="277">
        <f t="shared" si="70"/>
        <v>56100</v>
      </c>
    </row>
    <row r="534" spans="1:5" x14ac:dyDescent="0.2">
      <c r="A534" s="262" t="s">
        <v>167</v>
      </c>
      <c r="B534" s="272">
        <v>130211</v>
      </c>
      <c r="C534" s="273">
        <f>REMUNERATION!M110</f>
        <v>141576.08006666665</v>
      </c>
      <c r="D534" s="277">
        <v>137400</v>
      </c>
      <c r="E534" s="277">
        <v>145900</v>
      </c>
    </row>
    <row r="535" spans="1:5" x14ac:dyDescent="0.2">
      <c r="A535" s="262" t="s">
        <v>168</v>
      </c>
      <c r="B535" s="272">
        <v>2200</v>
      </c>
      <c r="C535" s="273">
        <f>REMUNERATION!L110</f>
        <v>2883</v>
      </c>
      <c r="D535" s="277">
        <f t="shared" si="71"/>
        <v>3100</v>
      </c>
      <c r="E535" s="277">
        <f t="shared" si="70"/>
        <v>3300</v>
      </c>
    </row>
    <row r="536" spans="1:5" x14ac:dyDescent="0.2">
      <c r="C536" s="273"/>
      <c r="D536" s="277"/>
      <c r="E536" s="277"/>
    </row>
    <row r="537" spans="1:5" ht="12" thickBot="1" x14ac:dyDescent="0.25">
      <c r="A537" s="262" t="s">
        <v>209</v>
      </c>
      <c r="B537" s="274">
        <f>SUM(B522:B536)</f>
        <v>17365185</v>
      </c>
      <c r="C537" s="275">
        <f>SUM(C522:C536)</f>
        <v>18913626.52193334</v>
      </c>
      <c r="D537" s="289">
        <f>SUM(D522:D536)</f>
        <v>19998300</v>
      </c>
      <c r="E537" s="289">
        <f>SUM(E522:E536)</f>
        <v>21158800</v>
      </c>
    </row>
    <row r="538" spans="1:5" ht="12" thickTop="1" x14ac:dyDescent="0.2">
      <c r="C538" s="273"/>
      <c r="D538" s="277"/>
      <c r="E538" s="277"/>
    </row>
    <row r="539" spans="1:5" x14ac:dyDescent="0.2">
      <c r="A539" s="270" t="s">
        <v>203</v>
      </c>
      <c r="C539" s="273"/>
      <c r="D539" s="277"/>
      <c r="E539" s="277"/>
    </row>
    <row r="540" spans="1:5" x14ac:dyDescent="0.2">
      <c r="A540" s="262"/>
      <c r="C540" s="273"/>
      <c r="D540" s="277"/>
      <c r="E540" s="277"/>
    </row>
    <row r="541" spans="1:5" x14ac:dyDescent="0.2">
      <c r="A541" s="248" t="s">
        <v>445</v>
      </c>
      <c r="B541" s="272">
        <v>0</v>
      </c>
      <c r="C541" s="273">
        <v>0</v>
      </c>
      <c r="D541" s="277">
        <f t="shared" ref="D541:D556" si="73">ROUND(+C541*(1+D$1),-2)</f>
        <v>0</v>
      </c>
      <c r="E541" s="277">
        <f t="shared" ref="E541:E543" si="74">ROUND(+D541*(1+E$1),-2)</f>
        <v>0</v>
      </c>
    </row>
    <row r="542" spans="1:5" x14ac:dyDescent="0.2">
      <c r="A542" s="262" t="s">
        <v>138</v>
      </c>
      <c r="B542" s="272">
        <v>96915</v>
      </c>
      <c r="C542" s="273">
        <v>96915</v>
      </c>
      <c r="D542" s="277">
        <f t="shared" si="73"/>
        <v>102500</v>
      </c>
      <c r="E542" s="277">
        <f t="shared" si="74"/>
        <v>108400</v>
      </c>
    </row>
    <row r="543" spans="1:5" x14ac:dyDescent="0.2">
      <c r="A543" s="262" t="s">
        <v>101</v>
      </c>
      <c r="B543" s="272">
        <v>300000</v>
      </c>
      <c r="C543" s="273">
        <v>300000</v>
      </c>
      <c r="D543" s="277">
        <f t="shared" si="73"/>
        <v>317400</v>
      </c>
      <c r="E543" s="277">
        <f t="shared" si="74"/>
        <v>335800</v>
      </c>
    </row>
    <row r="544" spans="1:5" x14ac:dyDescent="0.2">
      <c r="A544" s="262" t="s">
        <v>141</v>
      </c>
      <c r="B544" s="272">
        <v>0</v>
      </c>
      <c r="C544" s="273">
        <v>0</v>
      </c>
      <c r="D544" s="277">
        <f t="shared" si="73"/>
        <v>0</v>
      </c>
      <c r="E544" s="277">
        <f t="shared" ref="E544:E556" si="75">ROUND(+D544*(1+E$1),-2)</f>
        <v>0</v>
      </c>
    </row>
    <row r="545" spans="1:5" x14ac:dyDescent="0.2">
      <c r="A545" s="262" t="s">
        <v>139</v>
      </c>
      <c r="B545" s="272">
        <v>3100000</v>
      </c>
      <c r="C545" s="273">
        <v>3700000</v>
      </c>
      <c r="D545" s="277">
        <v>3279800</v>
      </c>
      <c r="E545" s="277">
        <f t="shared" si="75"/>
        <v>3470000</v>
      </c>
    </row>
    <row r="546" spans="1:5" x14ac:dyDescent="0.2">
      <c r="A546" s="248" t="s">
        <v>266</v>
      </c>
      <c r="B546" s="272">
        <v>21395905</v>
      </c>
      <c r="C546" s="273">
        <v>21395905</v>
      </c>
      <c r="D546" s="277">
        <v>21495905</v>
      </c>
      <c r="E546" s="277">
        <v>21495905</v>
      </c>
    </row>
    <row r="547" spans="1:5" x14ac:dyDescent="0.2">
      <c r="A547" s="262" t="s">
        <v>373</v>
      </c>
      <c r="B547" s="272">
        <v>0</v>
      </c>
      <c r="C547" s="273">
        <v>0</v>
      </c>
      <c r="D547" s="277">
        <f t="shared" si="73"/>
        <v>0</v>
      </c>
      <c r="E547" s="277">
        <f t="shared" si="75"/>
        <v>0</v>
      </c>
    </row>
    <row r="548" spans="1:5" x14ac:dyDescent="0.2">
      <c r="A548" s="262" t="s">
        <v>169</v>
      </c>
      <c r="B548" s="272">
        <v>0</v>
      </c>
      <c r="C548" s="273">
        <v>0</v>
      </c>
      <c r="D548" s="277">
        <f t="shared" si="73"/>
        <v>0</v>
      </c>
      <c r="E548" s="277">
        <f t="shared" si="75"/>
        <v>0</v>
      </c>
    </row>
    <row r="549" spans="1:5" x14ac:dyDescent="0.2">
      <c r="A549" s="262" t="s">
        <v>158</v>
      </c>
      <c r="B549" s="272">
        <v>0</v>
      </c>
      <c r="C549" s="273">
        <v>0</v>
      </c>
      <c r="D549" s="277">
        <f t="shared" si="73"/>
        <v>0</v>
      </c>
      <c r="E549" s="277">
        <f t="shared" si="75"/>
        <v>0</v>
      </c>
    </row>
    <row r="550" spans="1:5" x14ac:dyDescent="0.2">
      <c r="A550" s="287" t="s">
        <v>389</v>
      </c>
      <c r="B550" s="272">
        <v>0</v>
      </c>
      <c r="C550" s="273">
        <v>0</v>
      </c>
      <c r="D550" s="277">
        <f t="shared" si="73"/>
        <v>0</v>
      </c>
      <c r="E550" s="277">
        <f t="shared" si="75"/>
        <v>0</v>
      </c>
    </row>
    <row r="551" spans="1:5" x14ac:dyDescent="0.2">
      <c r="A551" s="262" t="s">
        <v>6</v>
      </c>
      <c r="B551" s="272">
        <v>0</v>
      </c>
      <c r="C551" s="273">
        <v>4000000</v>
      </c>
      <c r="D551" s="277">
        <f t="shared" si="73"/>
        <v>4232000</v>
      </c>
      <c r="E551" s="277">
        <f t="shared" si="75"/>
        <v>4477500</v>
      </c>
    </row>
    <row r="552" spans="1:5" x14ac:dyDescent="0.2">
      <c r="A552" s="262" t="s">
        <v>151</v>
      </c>
      <c r="B552" s="272">
        <v>0</v>
      </c>
      <c r="C552" s="273">
        <v>0</v>
      </c>
      <c r="D552" s="277">
        <f t="shared" si="73"/>
        <v>0</v>
      </c>
      <c r="E552" s="277">
        <f t="shared" si="75"/>
        <v>0</v>
      </c>
    </row>
    <row r="553" spans="1:5" x14ac:dyDescent="0.2">
      <c r="A553" s="262" t="s">
        <v>159</v>
      </c>
      <c r="B553" s="272">
        <v>295338</v>
      </c>
      <c r="C553" s="273">
        <v>295338</v>
      </c>
      <c r="D553" s="277">
        <f t="shared" si="73"/>
        <v>312500</v>
      </c>
      <c r="E553" s="277">
        <f t="shared" si="75"/>
        <v>330600</v>
      </c>
    </row>
    <row r="554" spans="1:5" x14ac:dyDescent="0.2">
      <c r="A554" s="262" t="s">
        <v>277</v>
      </c>
      <c r="B554" s="272">
        <v>1200000</v>
      </c>
      <c r="C554" s="273">
        <v>1400000</v>
      </c>
      <c r="D554" s="277">
        <f t="shared" si="73"/>
        <v>1481200</v>
      </c>
      <c r="E554" s="277">
        <f t="shared" si="75"/>
        <v>1567100</v>
      </c>
    </row>
    <row r="555" spans="1:5" x14ac:dyDescent="0.2">
      <c r="A555" s="262" t="s">
        <v>154</v>
      </c>
      <c r="B555" s="272">
        <v>0</v>
      </c>
      <c r="C555" s="273">
        <v>0</v>
      </c>
      <c r="D555" s="277">
        <f t="shared" si="73"/>
        <v>0</v>
      </c>
      <c r="E555" s="277">
        <f t="shared" si="75"/>
        <v>0</v>
      </c>
    </row>
    <row r="556" spans="1:5" x14ac:dyDescent="0.2">
      <c r="A556" s="248" t="s">
        <v>265</v>
      </c>
      <c r="B556" s="272">
        <v>0</v>
      </c>
      <c r="C556" s="273">
        <v>0</v>
      </c>
      <c r="D556" s="277">
        <f t="shared" si="73"/>
        <v>0</v>
      </c>
      <c r="E556" s="277">
        <f t="shared" si="75"/>
        <v>0</v>
      </c>
    </row>
    <row r="557" spans="1:5" x14ac:dyDescent="0.2">
      <c r="A557" s="262" t="s">
        <v>155</v>
      </c>
      <c r="B557" s="272">
        <v>400000</v>
      </c>
      <c r="C557" s="273">
        <v>400000</v>
      </c>
      <c r="D557" s="277">
        <v>423400</v>
      </c>
      <c r="E557" s="277">
        <v>447700</v>
      </c>
    </row>
    <row r="558" spans="1:5" ht="12" thickBot="1" x14ac:dyDescent="0.25">
      <c r="A558" s="262" t="s">
        <v>210</v>
      </c>
      <c r="B558" s="274">
        <f>SUM(B541:B557)</f>
        <v>26788158</v>
      </c>
      <c r="C558" s="275">
        <f>SUM(C541:C557)</f>
        <v>31588158</v>
      </c>
      <c r="D558" s="289">
        <f>SUM(D541:D557)</f>
        <v>31644705</v>
      </c>
      <c r="E558" s="289">
        <f>SUM(E541:E557)</f>
        <v>32233005</v>
      </c>
    </row>
    <row r="559" spans="1:5" ht="12" thickTop="1" x14ac:dyDescent="0.2">
      <c r="C559" s="273"/>
      <c r="D559" s="277"/>
      <c r="E559" s="277"/>
    </row>
    <row r="560" spans="1:5" x14ac:dyDescent="0.2">
      <c r="A560" s="270" t="s">
        <v>211</v>
      </c>
      <c r="C560" s="273"/>
      <c r="D560" s="277"/>
      <c r="E560" s="277"/>
    </row>
    <row r="561" spans="1:5" x14ac:dyDescent="0.2">
      <c r="A561" s="262"/>
      <c r="C561" s="273"/>
      <c r="D561" s="277"/>
      <c r="E561" s="277"/>
    </row>
    <row r="562" spans="1:5" x14ac:dyDescent="0.2">
      <c r="A562" s="262" t="s">
        <v>244</v>
      </c>
      <c r="B562" s="272">
        <v>11109</v>
      </c>
      <c r="C562" s="273">
        <v>11109</v>
      </c>
      <c r="D562" s="277">
        <f t="shared" ref="D562:D564" si="76">ROUND(+C562*(1+D$1),-2)</f>
        <v>11800</v>
      </c>
      <c r="E562" s="277">
        <f t="shared" ref="E562:E564" si="77">ROUND(+D562*(1+E$1),-2)</f>
        <v>12500</v>
      </c>
    </row>
    <row r="563" spans="1:5" x14ac:dyDescent="0.2">
      <c r="A563" s="262" t="s">
        <v>245</v>
      </c>
      <c r="B563" s="272">
        <v>82727</v>
      </c>
      <c r="C563" s="273">
        <v>82727</v>
      </c>
      <c r="D563" s="277">
        <f t="shared" si="76"/>
        <v>87500</v>
      </c>
      <c r="E563" s="277">
        <f t="shared" si="77"/>
        <v>92600</v>
      </c>
    </row>
    <row r="564" spans="1:5" x14ac:dyDescent="0.2">
      <c r="A564" s="262" t="s">
        <v>247</v>
      </c>
      <c r="B564" s="272">
        <v>88870</v>
      </c>
      <c r="C564" s="273">
        <v>88870</v>
      </c>
      <c r="D564" s="277">
        <f t="shared" si="76"/>
        <v>94000</v>
      </c>
      <c r="E564" s="277">
        <f t="shared" si="77"/>
        <v>99500</v>
      </c>
    </row>
    <row r="565" spans="1:5" x14ac:dyDescent="0.2">
      <c r="B565" s="272"/>
      <c r="C565" s="273"/>
      <c r="D565" s="277"/>
      <c r="E565" s="277"/>
    </row>
    <row r="566" spans="1:5" ht="12" thickBot="1" x14ac:dyDescent="0.25">
      <c r="A566" s="262" t="s">
        <v>212</v>
      </c>
      <c r="B566" s="274">
        <f>SUM(B562:B564)</f>
        <v>182706</v>
      </c>
      <c r="C566" s="275">
        <f>SUM(C562:C564)</f>
        <v>182706</v>
      </c>
      <c r="D566" s="289">
        <f>SUM(D562:D564)</f>
        <v>193300</v>
      </c>
      <c r="E566" s="289">
        <f>SUM(E562:E564)</f>
        <v>204600</v>
      </c>
    </row>
    <row r="567" spans="1:5" ht="12" thickTop="1" x14ac:dyDescent="0.2">
      <c r="C567" s="273"/>
      <c r="D567" s="277"/>
      <c r="E567" s="277"/>
    </row>
    <row r="568" spans="1:5" x14ac:dyDescent="0.2">
      <c r="A568" s="270" t="s">
        <v>213</v>
      </c>
      <c r="C568" s="273"/>
      <c r="D568" s="277"/>
      <c r="E568" s="277"/>
    </row>
    <row r="569" spans="1:5" x14ac:dyDescent="0.2">
      <c r="A569" s="262"/>
      <c r="C569" s="273"/>
      <c r="D569" s="277"/>
      <c r="E569" s="277"/>
    </row>
    <row r="570" spans="1:5" x14ac:dyDescent="0.2">
      <c r="C570" s="273"/>
      <c r="D570" s="277"/>
      <c r="E570" s="277"/>
    </row>
    <row r="571" spans="1:5" ht="12" thickBot="1" x14ac:dyDescent="0.25">
      <c r="A571" s="262" t="s">
        <v>214</v>
      </c>
      <c r="B571" s="276">
        <f>B651</f>
        <v>0</v>
      </c>
      <c r="C571" s="275">
        <f>C651</f>
        <v>0</v>
      </c>
      <c r="D571" s="289">
        <f>D651</f>
        <v>0</v>
      </c>
      <c r="E571" s="289">
        <f>E651</f>
        <v>0</v>
      </c>
    </row>
    <row r="572" spans="1:5" ht="12" thickTop="1" x14ac:dyDescent="0.2">
      <c r="C572" s="273"/>
      <c r="D572" s="277"/>
      <c r="E572" s="277"/>
    </row>
    <row r="573" spans="1:5" x14ac:dyDescent="0.2">
      <c r="A573" s="270" t="s">
        <v>215</v>
      </c>
      <c r="C573" s="273"/>
      <c r="D573" s="277"/>
      <c r="E573" s="277"/>
    </row>
    <row r="574" spans="1:5" x14ac:dyDescent="0.2">
      <c r="A574" s="262"/>
      <c r="C574" s="273"/>
      <c r="D574" s="277"/>
      <c r="E574" s="277"/>
    </row>
    <row r="575" spans="1:5" x14ac:dyDescent="0.2">
      <c r="A575" s="262" t="s">
        <v>248</v>
      </c>
      <c r="B575" s="272">
        <v>2520000</v>
      </c>
      <c r="C575" s="273">
        <v>2900000</v>
      </c>
      <c r="D575" s="277">
        <v>2800000</v>
      </c>
      <c r="E575" s="277">
        <f t="shared" ref="E575:E576" si="78">ROUND(+D575*(1+E$1),-2)</f>
        <v>2962400</v>
      </c>
    </row>
    <row r="576" spans="1:5" x14ac:dyDescent="0.2">
      <c r="A576" s="262" t="s">
        <v>249</v>
      </c>
      <c r="B576" s="272">
        <v>0</v>
      </c>
      <c r="C576" s="273"/>
      <c r="D576" s="277">
        <v>0</v>
      </c>
      <c r="E576" s="277">
        <f t="shared" si="78"/>
        <v>0</v>
      </c>
    </row>
    <row r="577" spans="1:5" x14ac:dyDescent="0.2">
      <c r="A577" s="262" t="s">
        <v>332</v>
      </c>
      <c r="B577" s="272">
        <v>10595487</v>
      </c>
      <c r="C577" s="273">
        <v>10595487</v>
      </c>
      <c r="D577" s="277">
        <v>11204682</v>
      </c>
      <c r="E577" s="277">
        <v>13452508</v>
      </c>
    </row>
    <row r="578" spans="1:5" x14ac:dyDescent="0.2">
      <c r="A578" s="262" t="s">
        <v>333</v>
      </c>
      <c r="B578" s="272">
        <v>2000000</v>
      </c>
      <c r="C578" s="273">
        <v>1000000</v>
      </c>
      <c r="D578" s="277">
        <v>2120000</v>
      </c>
      <c r="E578" s="277">
        <f t="shared" ref="E578" si="79">ROUND(+D578*(1+E$1),-2)</f>
        <v>2243000</v>
      </c>
    </row>
    <row r="579" spans="1:5" x14ac:dyDescent="0.2">
      <c r="B579" s="272"/>
      <c r="C579" s="273"/>
      <c r="D579" s="277"/>
      <c r="E579" s="277"/>
    </row>
    <row r="580" spans="1:5" ht="12" thickBot="1" x14ac:dyDescent="0.25">
      <c r="A580" s="262" t="s">
        <v>117</v>
      </c>
      <c r="B580" s="274">
        <f>SUM(B575:B579)</f>
        <v>15115487</v>
      </c>
      <c r="C580" s="275">
        <f>SUM(C575:C579)</f>
        <v>14495487</v>
      </c>
      <c r="D580" s="289">
        <f>SUM(D575:D579)</f>
        <v>16124682</v>
      </c>
      <c r="E580" s="289">
        <f>SUM(E575:E579)</f>
        <v>18657908</v>
      </c>
    </row>
    <row r="581" spans="1:5" ht="12" thickTop="1" x14ac:dyDescent="0.2">
      <c r="C581" s="273"/>
      <c r="D581" s="277"/>
      <c r="E581" s="277"/>
    </row>
    <row r="582" spans="1:5" x14ac:dyDescent="0.2">
      <c r="A582" s="262"/>
      <c r="C582" s="273"/>
      <c r="D582" s="277"/>
      <c r="E582" s="277"/>
    </row>
    <row r="583" spans="1:5" x14ac:dyDescent="0.2">
      <c r="C583" s="273"/>
      <c r="D583" s="277"/>
      <c r="E583" s="277"/>
    </row>
    <row r="584" spans="1:5" ht="12" thickBot="1" x14ac:dyDescent="0.25">
      <c r="A584" s="262" t="s">
        <v>121</v>
      </c>
      <c r="B584" s="274">
        <f>B580+B571+B566+B558+B537</f>
        <v>59451536</v>
      </c>
      <c r="C584" s="275">
        <f>C580+C571+C566+C558+C537</f>
        <v>65179977.52193334</v>
      </c>
      <c r="D584" s="289">
        <f>D580+D571+D566+D558+D537</f>
        <v>67960987</v>
      </c>
      <c r="E584" s="289">
        <f>E580+E571+E566+E558+E537</f>
        <v>72254313</v>
      </c>
    </row>
    <row r="585" spans="1:5" ht="12" thickTop="1" x14ac:dyDescent="0.2">
      <c r="A585" s="270" t="s">
        <v>122</v>
      </c>
      <c r="C585" s="273"/>
      <c r="D585" s="277"/>
      <c r="E585" s="277"/>
    </row>
    <row r="586" spans="1:5" x14ac:dyDescent="0.2">
      <c r="A586" s="262"/>
      <c r="C586" s="273"/>
      <c r="D586" s="277"/>
      <c r="E586" s="277"/>
    </row>
    <row r="587" spans="1:5" x14ac:dyDescent="0.2">
      <c r="A587" s="270" t="s">
        <v>87</v>
      </c>
      <c r="C587" s="308"/>
      <c r="D587" s="277"/>
      <c r="E587" s="277"/>
    </row>
    <row r="588" spans="1:5" x14ac:dyDescent="0.2">
      <c r="A588" s="262"/>
      <c r="C588" s="273"/>
      <c r="D588" s="277"/>
      <c r="E588" s="277"/>
    </row>
    <row r="589" spans="1:5" x14ac:dyDescent="0.2">
      <c r="A589" s="262"/>
      <c r="B589" s="272">
        <v>0</v>
      </c>
      <c r="C589" s="273">
        <v>0</v>
      </c>
      <c r="D589" s="277">
        <f>C589*1.1</f>
        <v>0</v>
      </c>
      <c r="E589" s="277">
        <f>D589*1.1</f>
        <v>0</v>
      </c>
    </row>
    <row r="590" spans="1:5" x14ac:dyDescent="0.2">
      <c r="A590" s="262" t="s">
        <v>301</v>
      </c>
      <c r="B590" s="272">
        <v>-162880</v>
      </c>
      <c r="C590" s="273">
        <v>-200000</v>
      </c>
      <c r="D590" s="277">
        <v>-276815</v>
      </c>
      <c r="E590" s="277">
        <f>ROUND(+D590*(1+E$1),-2)</f>
        <v>-292900</v>
      </c>
    </row>
    <row r="591" spans="1:5" x14ac:dyDescent="0.2">
      <c r="A591" s="262" t="s">
        <v>420</v>
      </c>
      <c r="B591" s="272">
        <v>-25000</v>
      </c>
      <c r="C591" s="273">
        <v>-30000</v>
      </c>
      <c r="D591" s="277">
        <f>ROUND(+C591*(1+D$1),-2)</f>
        <v>-31700</v>
      </c>
      <c r="E591" s="277">
        <f t="shared" ref="E591" si="80">ROUND(+D591*(1+E$1),-2)</f>
        <v>-33500</v>
      </c>
    </row>
    <row r="592" spans="1:5" x14ac:dyDescent="0.2">
      <c r="A592" s="262" t="s">
        <v>302</v>
      </c>
      <c r="B592" s="272">
        <v>-100000</v>
      </c>
      <c r="C592" s="273">
        <v>-110000</v>
      </c>
      <c r="D592" s="277">
        <f>ROUND(+C592*(1+D$1),-2)</f>
        <v>-116400</v>
      </c>
      <c r="E592" s="277">
        <f>ROUND(+D592*(1+E$1),-2)</f>
        <v>-123200</v>
      </c>
    </row>
    <row r="593" spans="1:5" x14ac:dyDescent="0.2">
      <c r="B593" s="272"/>
      <c r="C593" s="273"/>
      <c r="D593" s="277"/>
      <c r="E593" s="277"/>
    </row>
    <row r="594" spans="1:5" ht="12" thickBot="1" x14ac:dyDescent="0.25">
      <c r="A594" s="262" t="s">
        <v>88</v>
      </c>
      <c r="B594" s="274">
        <f>SUM(B589:B593)</f>
        <v>-287880</v>
      </c>
      <c r="C594" s="275">
        <f>SUM(C589:C593)</f>
        <v>-340000</v>
      </c>
      <c r="D594" s="289">
        <f>SUM(D589:D593)</f>
        <v>-424915</v>
      </c>
      <c r="E594" s="289">
        <f>SUM(E589:E593)</f>
        <v>-449600</v>
      </c>
    </row>
    <row r="595" spans="1:5" ht="12" thickTop="1" x14ac:dyDescent="0.2">
      <c r="A595" s="262"/>
      <c r="B595" s="280"/>
      <c r="C595" s="281"/>
      <c r="D595" s="296"/>
      <c r="E595" s="296"/>
    </row>
    <row r="596" spans="1:5" x14ac:dyDescent="0.2">
      <c r="A596" s="270" t="s">
        <v>12</v>
      </c>
      <c r="B596" s="280"/>
      <c r="C596" s="281"/>
      <c r="D596" s="296"/>
      <c r="E596" s="296"/>
    </row>
    <row r="597" spans="1:5" x14ac:dyDescent="0.2">
      <c r="A597" s="270"/>
      <c r="B597" s="280"/>
      <c r="C597" s="281"/>
      <c r="D597" s="296"/>
      <c r="E597" s="296"/>
    </row>
    <row r="598" spans="1:5" x14ac:dyDescent="0.2">
      <c r="A598" s="262" t="s">
        <v>90</v>
      </c>
      <c r="B598" s="284">
        <v>-66055000</v>
      </c>
      <c r="C598" s="281">
        <v>-70003000</v>
      </c>
      <c r="D598" s="296">
        <v>-74154000</v>
      </c>
      <c r="E598" s="296">
        <v>-77137000</v>
      </c>
    </row>
    <row r="599" spans="1:5" x14ac:dyDescent="0.2">
      <c r="A599" s="262" t="s">
        <v>89</v>
      </c>
      <c r="B599" s="284">
        <v>-155605000</v>
      </c>
      <c r="C599" s="281">
        <v>-159687000</v>
      </c>
      <c r="D599" s="296">
        <v>-164557000</v>
      </c>
      <c r="E599" s="296">
        <v>-169394000</v>
      </c>
    </row>
    <row r="600" spans="1:5" x14ac:dyDescent="0.2">
      <c r="A600" s="262" t="s">
        <v>13</v>
      </c>
      <c r="B600" s="284">
        <v>-1500000</v>
      </c>
      <c r="C600" s="281">
        <v>-1500000</v>
      </c>
      <c r="D600" s="296">
        <v>-1250000</v>
      </c>
      <c r="E600" s="296">
        <v>-1250000</v>
      </c>
    </row>
    <row r="601" spans="1:5" x14ac:dyDescent="0.2">
      <c r="A601" s="262" t="s">
        <v>14</v>
      </c>
      <c r="B601" s="284">
        <v>-1041000</v>
      </c>
      <c r="C601" s="281">
        <v>-1637000</v>
      </c>
      <c r="D601" s="296">
        <v>0</v>
      </c>
      <c r="E601" s="296">
        <v>0</v>
      </c>
    </row>
    <row r="602" spans="1:5" ht="12.75" x14ac:dyDescent="0.2">
      <c r="A602" s="309" t="s">
        <v>299</v>
      </c>
      <c r="B602" s="272">
        <v>-2274000</v>
      </c>
      <c r="C602" s="281">
        <v>-4355000</v>
      </c>
      <c r="D602" s="296"/>
      <c r="E602" s="296"/>
    </row>
    <row r="603" spans="1:5" ht="12" thickBot="1" x14ac:dyDescent="0.25">
      <c r="A603" s="262"/>
      <c r="B603" s="274">
        <f>SUM(B598:B602)</f>
        <v>-226475000</v>
      </c>
      <c r="C603" s="275">
        <f>SUM(C598:C602)</f>
        <v>-237182000</v>
      </c>
      <c r="D603" s="276">
        <f>SUM(D598:D601)</f>
        <v>-239961000</v>
      </c>
      <c r="E603" s="276">
        <f>SUM(E598:E601)</f>
        <v>-247781000</v>
      </c>
    </row>
    <row r="604" spans="1:5" ht="12" thickTop="1" x14ac:dyDescent="0.2">
      <c r="A604" s="262"/>
      <c r="B604" s="280"/>
      <c r="C604" s="281"/>
      <c r="D604" s="280"/>
      <c r="E604" s="280"/>
    </row>
    <row r="605" spans="1:5" x14ac:dyDescent="0.2">
      <c r="A605" s="270" t="s">
        <v>529</v>
      </c>
      <c r="B605" s="280"/>
      <c r="C605" s="281"/>
      <c r="D605" s="280"/>
      <c r="E605" s="280"/>
    </row>
    <row r="606" spans="1:5" x14ac:dyDescent="0.2">
      <c r="A606" s="270"/>
      <c r="B606" s="280"/>
      <c r="C606" s="281"/>
      <c r="D606" s="280"/>
      <c r="E606" s="280"/>
    </row>
    <row r="607" spans="1:5" x14ac:dyDescent="0.2">
      <c r="A607" s="262" t="s">
        <v>531</v>
      </c>
      <c r="B607" s="284">
        <v>-400000</v>
      </c>
      <c r="C607" s="281">
        <v>0</v>
      </c>
      <c r="D607" s="280">
        <v>0</v>
      </c>
      <c r="E607" s="280">
        <v>0</v>
      </c>
    </row>
    <row r="608" spans="1:5" x14ac:dyDescent="0.2">
      <c r="A608" s="262"/>
      <c r="B608" s="280"/>
      <c r="C608" s="281"/>
      <c r="D608" s="280"/>
      <c r="E608" s="280"/>
    </row>
    <row r="609" spans="1:5" ht="12" thickBot="1" x14ac:dyDescent="0.25">
      <c r="A609" s="270" t="s">
        <v>530</v>
      </c>
      <c r="B609" s="276">
        <f>SUM(B607:B608)</f>
        <v>-400000</v>
      </c>
      <c r="C609" s="275">
        <f>SUM(C607:C608)</f>
        <v>0</v>
      </c>
      <c r="D609" s="276">
        <f>SUM(D607:D608)</f>
        <v>0</v>
      </c>
      <c r="E609" s="276">
        <f>SUM(E607:E608)</f>
        <v>0</v>
      </c>
    </row>
    <row r="610" spans="1:5" ht="12" thickTop="1" x14ac:dyDescent="0.2">
      <c r="C610" s="273"/>
      <c r="D610" s="277"/>
      <c r="E610" s="277"/>
    </row>
    <row r="611" spans="1:5" x14ac:dyDescent="0.2">
      <c r="A611" s="270" t="s">
        <v>123</v>
      </c>
      <c r="C611" s="273"/>
      <c r="D611" s="277"/>
      <c r="E611" s="277"/>
    </row>
    <row r="612" spans="1:5" x14ac:dyDescent="0.2">
      <c r="A612" s="262"/>
      <c r="C612" s="273"/>
      <c r="D612" s="277"/>
      <c r="E612" s="277"/>
    </row>
    <row r="613" spans="1:5" x14ac:dyDescent="0.2">
      <c r="A613" s="262" t="s">
        <v>132</v>
      </c>
      <c r="B613" s="272">
        <v>0</v>
      </c>
      <c r="C613" s="273">
        <v>0</v>
      </c>
      <c r="D613" s="277">
        <f>ROUND(+C613*(1+D$1),-2)</f>
        <v>0</v>
      </c>
      <c r="E613" s="277">
        <f>ROUND(+D613*(1+E$1),-2)</f>
        <v>0</v>
      </c>
    </row>
    <row r="614" spans="1:5" x14ac:dyDescent="0.2">
      <c r="A614" s="287" t="s">
        <v>312</v>
      </c>
      <c r="B614" s="272">
        <v>-8381308</v>
      </c>
      <c r="C614" s="273">
        <v>-8500000</v>
      </c>
      <c r="D614" s="277">
        <f>ROUND(+C614*(1+D$1),-2)</f>
        <v>-8993000</v>
      </c>
      <c r="E614" s="277">
        <v>-8514600</v>
      </c>
    </row>
    <row r="615" spans="1:5" ht="12" thickBot="1" x14ac:dyDescent="0.25">
      <c r="A615" s="262" t="s">
        <v>124</v>
      </c>
      <c r="B615" s="274">
        <f>SUM(B613:B614)</f>
        <v>-8381308</v>
      </c>
      <c r="C615" s="275">
        <f>SUM(C613:C614)</f>
        <v>-8500000</v>
      </c>
      <c r="D615" s="289">
        <f>SUM(D613:D614)</f>
        <v>-8993000</v>
      </c>
      <c r="E615" s="289">
        <f>SUM(E613:E614)</f>
        <v>-8514600</v>
      </c>
    </row>
    <row r="616" spans="1:5" ht="12" thickTop="1" x14ac:dyDescent="0.2">
      <c r="C616" s="273"/>
      <c r="D616" s="277"/>
      <c r="E616" s="277"/>
    </row>
    <row r="617" spans="1:5" x14ac:dyDescent="0.2">
      <c r="A617" s="270" t="s">
        <v>226</v>
      </c>
      <c r="C617" s="273"/>
      <c r="D617" s="277"/>
      <c r="E617" s="277"/>
    </row>
    <row r="618" spans="1:5" x14ac:dyDescent="0.2">
      <c r="A618" s="262"/>
      <c r="C618" s="273"/>
      <c r="D618" s="277"/>
      <c r="E618" s="277"/>
    </row>
    <row r="619" spans="1:5" x14ac:dyDescent="0.2">
      <c r="A619" s="262" t="s">
        <v>125</v>
      </c>
      <c r="B619" s="272">
        <v>-800000</v>
      </c>
      <c r="C619" s="273">
        <v>-800000</v>
      </c>
      <c r="D619" s="277">
        <f t="shared" ref="D619:E625" si="81">ROUND(+C619*(1+D$1),-2)</f>
        <v>-846400</v>
      </c>
      <c r="E619" s="277">
        <f t="shared" si="81"/>
        <v>-895500</v>
      </c>
    </row>
    <row r="620" spans="1:5" x14ac:dyDescent="0.2">
      <c r="A620" s="262" t="s">
        <v>391</v>
      </c>
      <c r="B620" s="272">
        <v>0</v>
      </c>
      <c r="C620" s="273">
        <v>0</v>
      </c>
      <c r="D620" s="277">
        <f t="shared" si="81"/>
        <v>0</v>
      </c>
      <c r="E620" s="277">
        <f t="shared" si="81"/>
        <v>0</v>
      </c>
    </row>
    <row r="621" spans="1:5" x14ac:dyDescent="0.2">
      <c r="A621" s="262" t="s">
        <v>421</v>
      </c>
      <c r="B621" s="272">
        <v>-50000</v>
      </c>
      <c r="C621" s="273">
        <v>-55000</v>
      </c>
      <c r="D621" s="277">
        <f t="shared" si="81"/>
        <v>-58200</v>
      </c>
      <c r="E621" s="277">
        <f t="shared" si="81"/>
        <v>-61600</v>
      </c>
    </row>
    <row r="622" spans="1:5" x14ac:dyDescent="0.2">
      <c r="A622" s="262" t="s">
        <v>331</v>
      </c>
      <c r="B622" s="272">
        <v>0</v>
      </c>
      <c r="C622" s="273">
        <v>0</v>
      </c>
      <c r="D622" s="277">
        <f t="shared" si="81"/>
        <v>0</v>
      </c>
      <c r="E622" s="277">
        <f t="shared" si="81"/>
        <v>0</v>
      </c>
    </row>
    <row r="623" spans="1:5" x14ac:dyDescent="0.2">
      <c r="A623" s="262" t="s">
        <v>402</v>
      </c>
      <c r="B623" s="272">
        <v>-130000</v>
      </c>
      <c r="C623" s="273">
        <v>-140000</v>
      </c>
      <c r="D623" s="277">
        <f t="shared" si="81"/>
        <v>-148100</v>
      </c>
      <c r="E623" s="277">
        <f t="shared" si="81"/>
        <v>-156700</v>
      </c>
    </row>
    <row r="624" spans="1:5" x14ac:dyDescent="0.2">
      <c r="A624" s="262" t="s">
        <v>422</v>
      </c>
      <c r="B624" s="272"/>
      <c r="C624" s="273"/>
      <c r="D624" s="277">
        <f t="shared" si="81"/>
        <v>0</v>
      </c>
      <c r="E624" s="277">
        <f t="shared" si="81"/>
        <v>0</v>
      </c>
    </row>
    <row r="625" spans="1:6" x14ac:dyDescent="0.2">
      <c r="A625" s="262" t="s">
        <v>387</v>
      </c>
      <c r="B625" s="272"/>
      <c r="C625" s="273"/>
      <c r="D625" s="277">
        <f t="shared" si="81"/>
        <v>0</v>
      </c>
      <c r="E625" s="277">
        <f t="shared" si="81"/>
        <v>0</v>
      </c>
    </row>
    <row r="626" spans="1:6" x14ac:dyDescent="0.2">
      <c r="A626" s="287" t="s">
        <v>313</v>
      </c>
      <c r="B626" s="272"/>
      <c r="C626" s="273"/>
      <c r="D626" s="277"/>
      <c r="E626" s="277"/>
    </row>
    <row r="627" spans="1:6" ht="12" thickBot="1" x14ac:dyDescent="0.25">
      <c r="A627" s="262" t="s">
        <v>126</v>
      </c>
      <c r="B627" s="274">
        <f>SUM(B619:B626)</f>
        <v>-980000</v>
      </c>
      <c r="C627" s="275">
        <f>SUM(C619:C626)</f>
        <v>-995000</v>
      </c>
      <c r="D627" s="289">
        <f>SUM(D619:D626)</f>
        <v>-1052700</v>
      </c>
      <c r="E627" s="289">
        <f>SUM(E619:E626)</f>
        <v>-1113800</v>
      </c>
    </row>
    <row r="628" spans="1:6" ht="12" thickTop="1" x14ac:dyDescent="0.2">
      <c r="A628" s="262"/>
      <c r="B628" s="284"/>
      <c r="C628" s="281"/>
      <c r="D628" s="296"/>
      <c r="E628" s="296"/>
    </row>
    <row r="629" spans="1:6" x14ac:dyDescent="0.2">
      <c r="C629" s="273"/>
      <c r="D629" s="277"/>
      <c r="E629" s="277"/>
    </row>
    <row r="630" spans="1:6" x14ac:dyDescent="0.2">
      <c r="C630" s="273"/>
      <c r="D630" s="277"/>
      <c r="E630" s="277"/>
    </row>
    <row r="631" spans="1:6" ht="12" thickBot="1" x14ac:dyDescent="0.25">
      <c r="A631" s="262" t="s">
        <v>127</v>
      </c>
      <c r="B631" s="275">
        <f>B627+B615+B594+B603+B607+B643</f>
        <v>-238482188</v>
      </c>
      <c r="C631" s="275">
        <f>C627+C615+C594+C603+C607+C643</f>
        <v>-249364000</v>
      </c>
      <c r="D631" s="275">
        <f>D627+D615+D594+D603+D607+D643</f>
        <v>-252906615</v>
      </c>
      <c r="E631" s="275">
        <f>E627+E615+E594+E603+E607+E643</f>
        <v>-260473000</v>
      </c>
    </row>
    <row r="632" spans="1:6" ht="12" thickTop="1" x14ac:dyDescent="0.2">
      <c r="C632" s="273"/>
      <c r="D632" s="277"/>
      <c r="E632" s="277"/>
    </row>
    <row r="633" spans="1:6" ht="12" thickBot="1" x14ac:dyDescent="0.25">
      <c r="A633" s="262" t="s">
        <v>128</v>
      </c>
      <c r="B633" s="274">
        <f>B631+B584</f>
        <v>-179030652</v>
      </c>
      <c r="C633" s="275">
        <f>C631+C584</f>
        <v>-184184022.47806665</v>
      </c>
      <c r="D633" s="274">
        <f>D631+D584</f>
        <v>-184945628</v>
      </c>
      <c r="E633" s="274">
        <f>E631+E584</f>
        <v>-188218687</v>
      </c>
    </row>
    <row r="634" spans="1:6" ht="12" thickTop="1" x14ac:dyDescent="0.2">
      <c r="A634" s="262"/>
      <c r="B634" s="280"/>
      <c r="C634" s="281"/>
      <c r="D634" s="296"/>
      <c r="E634" s="296"/>
    </row>
    <row r="635" spans="1:6" x14ac:dyDescent="0.2">
      <c r="A635" s="278" t="s">
        <v>388</v>
      </c>
      <c r="C635" s="273"/>
      <c r="D635" s="277"/>
      <c r="E635" s="277"/>
    </row>
    <row r="636" spans="1:6" x14ac:dyDescent="0.2">
      <c r="A636" s="278"/>
      <c r="C636" s="273"/>
      <c r="D636" s="277"/>
      <c r="E636" s="277"/>
    </row>
    <row r="637" spans="1:6" ht="12.75" x14ac:dyDescent="0.2">
      <c r="A637" s="309" t="s">
        <v>299</v>
      </c>
      <c r="B637" s="272">
        <v>0</v>
      </c>
      <c r="C637" s="273">
        <v>0</v>
      </c>
      <c r="D637" s="277"/>
      <c r="E637" s="277"/>
    </row>
    <row r="638" spans="1:6" ht="12.75" x14ac:dyDescent="0.2">
      <c r="A638" s="297" t="s">
        <v>280</v>
      </c>
      <c r="B638" s="272">
        <v>0</v>
      </c>
      <c r="C638" s="273">
        <v>0</v>
      </c>
      <c r="D638" s="277">
        <v>0</v>
      </c>
      <c r="E638" s="277">
        <v>0</v>
      </c>
    </row>
    <row r="639" spans="1:6" ht="12.75" x14ac:dyDescent="0.2">
      <c r="A639" s="297" t="s">
        <v>405</v>
      </c>
      <c r="B639" s="272">
        <v>-1958000</v>
      </c>
      <c r="C639" s="273">
        <v>-2347000</v>
      </c>
      <c r="D639" s="277">
        <v>-2475000</v>
      </c>
      <c r="E639" s="277">
        <v>-2614000</v>
      </c>
    </row>
    <row r="640" spans="1:6" s="305" customFormat="1" ht="12.75" x14ac:dyDescent="0.2">
      <c r="A640" s="297" t="s">
        <v>482</v>
      </c>
      <c r="B640" s="272">
        <v>0</v>
      </c>
      <c r="C640" s="273">
        <v>0</v>
      </c>
      <c r="D640" s="277">
        <v>0</v>
      </c>
      <c r="E640" s="277">
        <v>0</v>
      </c>
      <c r="F640" s="304"/>
    </row>
    <row r="641" spans="1:5" ht="12.75" x14ac:dyDescent="0.2">
      <c r="A641" s="297" t="s">
        <v>406</v>
      </c>
      <c r="B641" s="272">
        <v>0</v>
      </c>
      <c r="C641" s="273">
        <v>0</v>
      </c>
      <c r="D641" s="277"/>
      <c r="E641" s="277"/>
    </row>
    <row r="642" spans="1:5" ht="12.75" x14ac:dyDescent="0.2">
      <c r="A642" s="297" t="s">
        <v>470</v>
      </c>
      <c r="B642" s="272">
        <v>0</v>
      </c>
      <c r="C642" s="273">
        <v>0</v>
      </c>
      <c r="D642" s="277">
        <v>0</v>
      </c>
      <c r="E642" s="277">
        <v>0</v>
      </c>
    </row>
    <row r="643" spans="1:5" ht="12" thickBot="1" x14ac:dyDescent="0.25">
      <c r="B643" s="274">
        <f>SUM(B637:B642)</f>
        <v>-1958000</v>
      </c>
      <c r="C643" s="275">
        <f>SUM(C637:C642)</f>
        <v>-2347000</v>
      </c>
      <c r="D643" s="274">
        <f t="shared" ref="D643:E643" si="82">SUM(D638:D642)</f>
        <v>-2475000</v>
      </c>
      <c r="E643" s="274">
        <f t="shared" si="82"/>
        <v>-2614000</v>
      </c>
    </row>
    <row r="644" spans="1:5" ht="12" thickTop="1" x14ac:dyDescent="0.2">
      <c r="B644" s="280"/>
      <c r="C644" s="281"/>
      <c r="D644" s="296"/>
      <c r="E644" s="296"/>
    </row>
    <row r="645" spans="1:5" x14ac:dyDescent="0.2">
      <c r="A645" s="270" t="s">
        <v>213</v>
      </c>
      <c r="B645" s="280"/>
      <c r="C645" s="281"/>
      <c r="D645" s="296"/>
      <c r="E645" s="296"/>
    </row>
    <row r="646" spans="1:5" x14ac:dyDescent="0.2">
      <c r="A646" s="262"/>
      <c r="C646" s="273"/>
      <c r="D646" s="277"/>
      <c r="E646" s="277"/>
    </row>
    <row r="647" spans="1:5" x14ac:dyDescent="0.2">
      <c r="A647" s="262" t="s">
        <v>250</v>
      </c>
      <c r="B647" s="272">
        <v>0</v>
      </c>
      <c r="C647" s="273">
        <v>0</v>
      </c>
      <c r="D647" s="277">
        <v>0</v>
      </c>
      <c r="E647" s="277">
        <v>0</v>
      </c>
    </row>
    <row r="648" spans="1:5" x14ac:dyDescent="0.2">
      <c r="A648" s="262" t="s">
        <v>251</v>
      </c>
      <c r="B648" s="272">
        <v>0</v>
      </c>
      <c r="C648" s="273">
        <f t="shared" ref="C648:C649" si="83">B648+B648*0.06</f>
        <v>0</v>
      </c>
      <c r="D648" s="277">
        <f>ROUND(+C648*(1+D$1),-2)</f>
        <v>0</v>
      </c>
      <c r="E648" s="277">
        <f t="shared" ref="E648:E649" si="84">ROUND(+D648*(1+E$1),-2)</f>
        <v>0</v>
      </c>
    </row>
    <row r="649" spans="1:5" x14ac:dyDescent="0.2">
      <c r="A649" s="262" t="s">
        <v>252</v>
      </c>
      <c r="C649" s="273">
        <f t="shared" si="83"/>
        <v>0</v>
      </c>
      <c r="D649" s="277">
        <f>ROUND(+C649*(1+D$1),-2)</f>
        <v>0</v>
      </c>
      <c r="E649" s="277">
        <f t="shared" si="84"/>
        <v>0</v>
      </c>
    </row>
    <row r="650" spans="1:5" x14ac:dyDescent="0.2">
      <c r="C650" s="273"/>
      <c r="D650" s="277"/>
      <c r="E650" s="277"/>
    </row>
    <row r="651" spans="1:5" ht="12" thickBot="1" x14ac:dyDescent="0.25">
      <c r="A651" s="262" t="s">
        <v>129</v>
      </c>
      <c r="B651" s="276">
        <f>SUM(B647:B650)</f>
        <v>0</v>
      </c>
      <c r="C651" s="275">
        <f>SUM(C647:C650)</f>
        <v>0</v>
      </c>
      <c r="D651" s="289">
        <f>SUM(D647:D650)</f>
        <v>0</v>
      </c>
      <c r="E651" s="289">
        <f>SUM(E647:E650)</f>
        <v>0</v>
      </c>
    </row>
    <row r="652" spans="1:5" ht="12" thickTop="1" x14ac:dyDescent="0.2">
      <c r="C652" s="273"/>
      <c r="D652" s="277"/>
      <c r="E652" s="277"/>
    </row>
    <row r="653" spans="1:5" x14ac:dyDescent="0.2">
      <c r="B653" s="263" t="s">
        <v>522</v>
      </c>
      <c r="C653" s="333" t="s">
        <v>522</v>
      </c>
      <c r="D653" s="277"/>
      <c r="E653" s="277"/>
    </row>
    <row r="654" spans="1:5" x14ac:dyDescent="0.2">
      <c r="A654" s="262"/>
      <c r="B654" s="263" t="str">
        <f t="shared" ref="B654:D655" si="85">B8</f>
        <v xml:space="preserve"> Budget</v>
      </c>
      <c r="C654" s="299" t="str">
        <f t="shared" si="85"/>
        <v>Budget</v>
      </c>
      <c r="D654" s="300" t="str">
        <f t="shared" si="85"/>
        <v>Budget</v>
      </c>
      <c r="E654" s="300" t="s">
        <v>207</v>
      </c>
    </row>
    <row r="655" spans="1:5" x14ac:dyDescent="0.2">
      <c r="B655" s="263" t="str">
        <f t="shared" si="85"/>
        <v>2016/2017</v>
      </c>
      <c r="C655" s="299" t="str">
        <f t="shared" si="85"/>
        <v>2017/2018</v>
      </c>
      <c r="D655" s="300" t="str">
        <f t="shared" si="85"/>
        <v>2018/2019</v>
      </c>
      <c r="E655" s="302" t="str">
        <f>E9</f>
        <v>2019/2020</v>
      </c>
    </row>
    <row r="656" spans="1:5" x14ac:dyDescent="0.2">
      <c r="A656" s="262"/>
      <c r="C656" s="273"/>
      <c r="D656" s="277"/>
      <c r="E656" s="277"/>
    </row>
    <row r="657" spans="1:5" ht="15.75" x14ac:dyDescent="0.25">
      <c r="A657" s="269" t="s">
        <v>20</v>
      </c>
      <c r="C657" s="273"/>
      <c r="D657" s="277"/>
      <c r="E657" s="277"/>
    </row>
    <row r="658" spans="1:5" x14ac:dyDescent="0.2">
      <c r="A658" s="262"/>
      <c r="C658" s="273"/>
      <c r="D658" s="277"/>
      <c r="E658" s="277"/>
    </row>
    <row r="659" spans="1:5" x14ac:dyDescent="0.2">
      <c r="A659" s="270" t="s">
        <v>208</v>
      </c>
      <c r="C659" s="273"/>
      <c r="D659" s="277"/>
      <c r="E659" s="277"/>
    </row>
    <row r="660" spans="1:5" x14ac:dyDescent="0.2">
      <c r="A660" s="262"/>
      <c r="C660" s="273"/>
      <c r="D660" s="277"/>
      <c r="E660" s="277"/>
    </row>
    <row r="661" spans="1:5" x14ac:dyDescent="0.2">
      <c r="A661" s="262" t="s">
        <v>161</v>
      </c>
      <c r="B661" s="272">
        <v>8070227</v>
      </c>
      <c r="C661" s="273">
        <f>REMUNERATION!F162</f>
        <v>12197690.770000007</v>
      </c>
      <c r="D661" s="277">
        <f t="shared" ref="D661:D671" si="86">ROUND(+C661*(1+D$1),-2)</f>
        <v>12905200</v>
      </c>
      <c r="E661" s="277">
        <f t="shared" ref="E661:E672" si="87">ROUND(+D661*(1+E$1),-2)</f>
        <v>13653700</v>
      </c>
    </row>
    <row r="662" spans="1:5" x14ac:dyDescent="0.2">
      <c r="A662" s="262" t="s">
        <v>195</v>
      </c>
      <c r="B662" s="272">
        <v>708169</v>
      </c>
      <c r="C662" s="273">
        <f>REMUNERATION!N162</f>
        <v>1052597.3880333337</v>
      </c>
      <c r="D662" s="277">
        <f t="shared" si="86"/>
        <v>1113600</v>
      </c>
      <c r="E662" s="277">
        <f t="shared" si="87"/>
        <v>1178200</v>
      </c>
    </row>
    <row r="663" spans="1:5" x14ac:dyDescent="0.2">
      <c r="A663" s="262" t="s">
        <v>157</v>
      </c>
      <c r="B663" s="272">
        <v>480000</v>
      </c>
      <c r="C663" s="273">
        <f>REMUNERATION!O162</f>
        <v>80000</v>
      </c>
      <c r="D663" s="277">
        <f t="shared" si="86"/>
        <v>84600</v>
      </c>
      <c r="E663" s="277">
        <f t="shared" si="87"/>
        <v>89500</v>
      </c>
    </row>
    <row r="664" spans="1:5" x14ac:dyDescent="0.2">
      <c r="A664" s="262" t="s">
        <v>162</v>
      </c>
      <c r="B664" s="272">
        <v>218400</v>
      </c>
      <c r="C664" s="273">
        <f>REMUNERATION!I162</f>
        <v>302400</v>
      </c>
      <c r="D664" s="277">
        <f t="shared" si="86"/>
        <v>319900</v>
      </c>
      <c r="E664" s="277">
        <f t="shared" si="87"/>
        <v>338500</v>
      </c>
    </row>
    <row r="665" spans="1:5" x14ac:dyDescent="0.2">
      <c r="A665" s="262" t="s">
        <v>163</v>
      </c>
      <c r="B665" s="272">
        <v>1254429</v>
      </c>
      <c r="C665" s="273">
        <f>REMUNERATION!H162</f>
        <v>1888738.3199999984</v>
      </c>
      <c r="D665" s="277">
        <f t="shared" si="86"/>
        <v>1998300</v>
      </c>
      <c r="E665" s="277">
        <f t="shared" si="87"/>
        <v>2114200</v>
      </c>
    </row>
    <row r="666" spans="1:5" x14ac:dyDescent="0.2">
      <c r="A666" s="262" t="s">
        <v>164</v>
      </c>
      <c r="B666" s="272">
        <v>157200</v>
      </c>
      <c r="C666" s="273">
        <f>REMUNERATION!E161</f>
        <v>157200</v>
      </c>
      <c r="D666" s="277">
        <f t="shared" si="86"/>
        <v>166300</v>
      </c>
      <c r="E666" s="277">
        <f t="shared" si="87"/>
        <v>175900</v>
      </c>
    </row>
    <row r="667" spans="1:5" x14ac:dyDescent="0.2">
      <c r="A667" s="262" t="s">
        <v>133</v>
      </c>
      <c r="B667" s="272">
        <v>1693220</v>
      </c>
      <c r="C667" s="273">
        <f>REMUNERATION!G162</f>
        <v>2599427.0038000005</v>
      </c>
      <c r="D667" s="277">
        <f t="shared" si="86"/>
        <v>2750200</v>
      </c>
      <c r="E667" s="277">
        <f t="shared" si="87"/>
        <v>2909700</v>
      </c>
    </row>
    <row r="668" spans="1:5" x14ac:dyDescent="0.2">
      <c r="A668" s="262" t="s">
        <v>4</v>
      </c>
      <c r="B668" s="272">
        <v>0</v>
      </c>
      <c r="C668" s="273">
        <v>0</v>
      </c>
      <c r="D668" s="277">
        <f t="shared" si="86"/>
        <v>0</v>
      </c>
      <c r="E668" s="277">
        <f t="shared" si="87"/>
        <v>0</v>
      </c>
    </row>
    <row r="669" spans="1:5" x14ac:dyDescent="0.2">
      <c r="A669" s="262" t="s">
        <v>165</v>
      </c>
      <c r="B669" s="272">
        <v>1093440</v>
      </c>
      <c r="C669" s="273">
        <f>REMUNERATION!K162</f>
        <v>1844040</v>
      </c>
      <c r="D669" s="277">
        <f t="shared" si="86"/>
        <v>1951000</v>
      </c>
      <c r="E669" s="277">
        <f t="shared" si="87"/>
        <v>2064200</v>
      </c>
    </row>
    <row r="670" spans="1:5" x14ac:dyDescent="0.2">
      <c r="A670" s="262" t="s">
        <v>166</v>
      </c>
      <c r="B670" s="272">
        <v>55000</v>
      </c>
      <c r="C670" s="273">
        <f>REMUNERATION!J162</f>
        <v>73188</v>
      </c>
      <c r="D670" s="277">
        <f t="shared" si="86"/>
        <v>77400</v>
      </c>
      <c r="E670" s="277">
        <f t="shared" si="87"/>
        <v>81900</v>
      </c>
    </row>
    <row r="671" spans="1:5" x14ac:dyDescent="0.2">
      <c r="A671" s="262" t="s">
        <v>167</v>
      </c>
      <c r="B671" s="272">
        <v>90490</v>
      </c>
      <c r="C671" s="273">
        <f>REMUNERATION!M162</f>
        <v>143460.15230833332</v>
      </c>
      <c r="D671" s="277">
        <f t="shared" si="86"/>
        <v>151800</v>
      </c>
      <c r="E671" s="277">
        <f t="shared" si="87"/>
        <v>160600</v>
      </c>
    </row>
    <row r="672" spans="1:5" x14ac:dyDescent="0.2">
      <c r="A672" s="262" t="s">
        <v>168</v>
      </c>
      <c r="B672" s="272">
        <v>2604</v>
      </c>
      <c r="C672" s="273">
        <f>REMUNERATION!L162</f>
        <v>3534</v>
      </c>
      <c r="D672" s="277">
        <v>2600</v>
      </c>
      <c r="E672" s="277">
        <f t="shared" si="87"/>
        <v>2800</v>
      </c>
    </row>
    <row r="673" spans="1:5" x14ac:dyDescent="0.2">
      <c r="C673" s="273"/>
      <c r="D673" s="277"/>
      <c r="E673" s="277"/>
    </row>
    <row r="674" spans="1:5" ht="12" thickBot="1" x14ac:dyDescent="0.25">
      <c r="A674" s="262" t="s">
        <v>209</v>
      </c>
      <c r="B674" s="274">
        <f>SUM(B661:B673)</f>
        <v>13823179</v>
      </c>
      <c r="C674" s="275">
        <f>SUM(C661:C673)</f>
        <v>20342275.634141672</v>
      </c>
      <c r="D674" s="289">
        <f>SUM(D661:D673)</f>
        <v>21520900</v>
      </c>
      <c r="E674" s="289">
        <f>SUM(E661:E673)</f>
        <v>22769200</v>
      </c>
    </row>
    <row r="675" spans="1:5" ht="12" thickTop="1" x14ac:dyDescent="0.2">
      <c r="C675" s="273"/>
      <c r="D675" s="277"/>
      <c r="E675" s="277"/>
    </row>
    <row r="676" spans="1:5" x14ac:dyDescent="0.2">
      <c r="A676" s="270" t="s">
        <v>203</v>
      </c>
      <c r="C676" s="273"/>
      <c r="D676" s="277"/>
      <c r="E676" s="277"/>
    </row>
    <row r="677" spans="1:5" ht="14.25" customHeight="1" x14ac:dyDescent="0.2">
      <c r="A677" s="262"/>
      <c r="C677" s="273"/>
      <c r="D677" s="277"/>
      <c r="E677" s="277"/>
    </row>
    <row r="678" spans="1:5" ht="12" customHeight="1" x14ac:dyDescent="0.2">
      <c r="A678" s="262" t="s">
        <v>2</v>
      </c>
      <c r="B678" s="272">
        <v>200000</v>
      </c>
      <c r="C678" s="273">
        <v>200000</v>
      </c>
      <c r="D678" s="277">
        <f t="shared" ref="D678:D710" si="88">ROUND(+C678*(1+D$1),-2)</f>
        <v>211600</v>
      </c>
      <c r="E678" s="277">
        <f t="shared" ref="E678" si="89">ROUND(+D678*(1+E$1),-2)</f>
        <v>223900</v>
      </c>
    </row>
    <row r="679" spans="1:5" x14ac:dyDescent="0.2">
      <c r="A679" s="262" t="s">
        <v>141</v>
      </c>
      <c r="B679" s="272">
        <v>0</v>
      </c>
      <c r="C679" s="273">
        <v>0</v>
      </c>
      <c r="D679" s="277">
        <f t="shared" si="88"/>
        <v>0</v>
      </c>
      <c r="E679" s="277">
        <f t="shared" ref="E679:E710" si="90">ROUND(+D679*(1+E$1),-2)</f>
        <v>0</v>
      </c>
    </row>
    <row r="680" spans="1:5" x14ac:dyDescent="0.2">
      <c r="A680" s="262" t="s">
        <v>270</v>
      </c>
      <c r="B680" s="272">
        <v>50000</v>
      </c>
      <c r="C680" s="273">
        <v>50000</v>
      </c>
      <c r="D680" s="277">
        <f t="shared" si="88"/>
        <v>52900</v>
      </c>
      <c r="E680" s="277">
        <f t="shared" si="90"/>
        <v>56000</v>
      </c>
    </row>
    <row r="681" spans="1:5" x14ac:dyDescent="0.2">
      <c r="A681" s="262" t="s">
        <v>169</v>
      </c>
      <c r="B681" s="272">
        <v>400000</v>
      </c>
      <c r="C681" s="273">
        <v>400000</v>
      </c>
      <c r="D681" s="277">
        <f t="shared" si="88"/>
        <v>423200</v>
      </c>
      <c r="E681" s="277">
        <f t="shared" si="90"/>
        <v>447700</v>
      </c>
    </row>
    <row r="682" spans="1:5" x14ac:dyDescent="0.2">
      <c r="A682" s="262" t="s">
        <v>143</v>
      </c>
      <c r="B682" s="272">
        <v>700000</v>
      </c>
      <c r="C682" s="273">
        <v>700000</v>
      </c>
      <c r="D682" s="277">
        <f t="shared" si="88"/>
        <v>740600</v>
      </c>
      <c r="E682" s="277">
        <f t="shared" si="90"/>
        <v>783600</v>
      </c>
    </row>
    <row r="683" spans="1:5" x14ac:dyDescent="0.2">
      <c r="A683" s="262" t="s">
        <v>113</v>
      </c>
      <c r="B683" s="272">
        <v>760000</v>
      </c>
      <c r="C683" s="273">
        <v>760000</v>
      </c>
      <c r="D683" s="277">
        <f t="shared" si="88"/>
        <v>804100</v>
      </c>
      <c r="E683" s="277">
        <f t="shared" si="90"/>
        <v>850700</v>
      </c>
    </row>
    <row r="684" spans="1:5" x14ac:dyDescent="0.2">
      <c r="A684" s="262" t="s">
        <v>137</v>
      </c>
      <c r="B684" s="272">
        <v>200000</v>
      </c>
      <c r="C684" s="273">
        <v>200000</v>
      </c>
      <c r="D684" s="277">
        <f t="shared" si="88"/>
        <v>211600</v>
      </c>
      <c r="E684" s="277">
        <f t="shared" si="90"/>
        <v>223900</v>
      </c>
    </row>
    <row r="685" spans="1:5" x14ac:dyDescent="0.2">
      <c r="A685" s="262" t="s">
        <v>198</v>
      </c>
      <c r="B685" s="272">
        <v>600000</v>
      </c>
      <c r="C685" s="273">
        <v>600000</v>
      </c>
      <c r="D685" s="277">
        <f t="shared" si="88"/>
        <v>634800</v>
      </c>
      <c r="E685" s="277">
        <f t="shared" si="90"/>
        <v>671600</v>
      </c>
    </row>
    <row r="686" spans="1:5" x14ac:dyDescent="0.2">
      <c r="A686" s="262" t="s">
        <v>519</v>
      </c>
      <c r="B686" s="272">
        <v>5328755</v>
      </c>
      <c r="C686" s="273">
        <v>5500000</v>
      </c>
      <c r="D686" s="277">
        <f t="shared" si="88"/>
        <v>5819000</v>
      </c>
      <c r="E686" s="277">
        <f t="shared" si="90"/>
        <v>6156500</v>
      </c>
    </row>
    <row r="687" spans="1:5" x14ac:dyDescent="0.2">
      <c r="A687" s="262" t="s">
        <v>374</v>
      </c>
      <c r="B687" s="272">
        <v>0</v>
      </c>
      <c r="C687" s="273">
        <v>0</v>
      </c>
      <c r="D687" s="277">
        <f t="shared" si="88"/>
        <v>0</v>
      </c>
      <c r="E687" s="277">
        <f t="shared" si="90"/>
        <v>0</v>
      </c>
    </row>
    <row r="688" spans="1:5" x14ac:dyDescent="0.2">
      <c r="A688" s="262" t="s">
        <v>142</v>
      </c>
      <c r="B688" s="272">
        <v>6182</v>
      </c>
      <c r="C688" s="273">
        <v>6182</v>
      </c>
      <c r="D688" s="277">
        <f t="shared" si="88"/>
        <v>6500</v>
      </c>
      <c r="E688" s="277">
        <f t="shared" si="90"/>
        <v>6900</v>
      </c>
    </row>
    <row r="689" spans="1:6" x14ac:dyDescent="0.2">
      <c r="A689" s="262" t="s">
        <v>145</v>
      </c>
      <c r="B689" s="272">
        <v>0</v>
      </c>
      <c r="C689" s="273">
        <v>0</v>
      </c>
      <c r="D689" s="277">
        <f t="shared" si="88"/>
        <v>0</v>
      </c>
      <c r="E689" s="277">
        <f t="shared" si="90"/>
        <v>0</v>
      </c>
    </row>
    <row r="690" spans="1:6" x14ac:dyDescent="0.2">
      <c r="A690" s="262" t="s">
        <v>144</v>
      </c>
      <c r="B690" s="272">
        <v>600000</v>
      </c>
      <c r="C690" s="273">
        <v>620000</v>
      </c>
      <c r="D690" s="277">
        <f t="shared" si="88"/>
        <v>656000</v>
      </c>
      <c r="E690" s="277">
        <f t="shared" si="90"/>
        <v>694000</v>
      </c>
    </row>
    <row r="691" spans="1:6" x14ac:dyDescent="0.2">
      <c r="A691" s="262" t="s">
        <v>150</v>
      </c>
      <c r="B691" s="272">
        <v>5000</v>
      </c>
      <c r="C691" s="273">
        <v>5000</v>
      </c>
      <c r="D691" s="277">
        <f t="shared" si="88"/>
        <v>5300</v>
      </c>
      <c r="E691" s="277">
        <f t="shared" si="90"/>
        <v>5600</v>
      </c>
    </row>
    <row r="692" spans="1:6" x14ac:dyDescent="0.2">
      <c r="A692" s="262" t="s">
        <v>160</v>
      </c>
      <c r="B692" s="272">
        <v>1394475</v>
      </c>
      <c r="C692" s="273">
        <v>1400000</v>
      </c>
      <c r="D692" s="277">
        <f t="shared" si="88"/>
        <v>1481200</v>
      </c>
      <c r="E692" s="277">
        <f t="shared" si="90"/>
        <v>1567100</v>
      </c>
      <c r="F692" s="277"/>
    </row>
    <row r="693" spans="1:6" x14ac:dyDescent="0.2">
      <c r="A693" s="262" t="s">
        <v>282</v>
      </c>
      <c r="B693" s="272">
        <v>0</v>
      </c>
      <c r="C693" s="273">
        <v>0</v>
      </c>
      <c r="D693" s="277">
        <f t="shared" si="88"/>
        <v>0</v>
      </c>
      <c r="E693" s="277">
        <f t="shared" si="90"/>
        <v>0</v>
      </c>
      <c r="F693" s="277"/>
    </row>
    <row r="694" spans="1:6" x14ac:dyDescent="0.2">
      <c r="A694" s="262" t="s">
        <v>158</v>
      </c>
      <c r="B694" s="272">
        <v>450000</v>
      </c>
      <c r="C694" s="273">
        <v>450000</v>
      </c>
      <c r="D694" s="277">
        <f t="shared" si="88"/>
        <v>476100</v>
      </c>
      <c r="E694" s="277">
        <f t="shared" si="90"/>
        <v>503700</v>
      </c>
    </row>
    <row r="695" spans="1:6" x14ac:dyDescent="0.2">
      <c r="A695" s="262" t="s">
        <v>287</v>
      </c>
      <c r="B695" s="272">
        <v>200000</v>
      </c>
      <c r="C695" s="273">
        <v>400000</v>
      </c>
      <c r="D695" s="277">
        <f t="shared" si="88"/>
        <v>423200</v>
      </c>
      <c r="E695" s="277">
        <f t="shared" si="90"/>
        <v>447700</v>
      </c>
    </row>
    <row r="696" spans="1:6" x14ac:dyDescent="0.2">
      <c r="A696" s="262" t="s">
        <v>375</v>
      </c>
      <c r="B696" s="272">
        <v>50000</v>
      </c>
      <c r="C696" s="273">
        <v>50000</v>
      </c>
      <c r="D696" s="277">
        <f t="shared" si="88"/>
        <v>52900</v>
      </c>
      <c r="E696" s="277">
        <f t="shared" si="90"/>
        <v>56000</v>
      </c>
    </row>
    <row r="697" spans="1:6" x14ac:dyDescent="0.2">
      <c r="A697" s="262" t="s">
        <v>151</v>
      </c>
      <c r="B697" s="272">
        <v>8887</v>
      </c>
      <c r="C697" s="273">
        <v>8887</v>
      </c>
      <c r="D697" s="277">
        <f t="shared" si="88"/>
        <v>9400</v>
      </c>
      <c r="E697" s="277">
        <f t="shared" si="90"/>
        <v>9900</v>
      </c>
    </row>
    <row r="698" spans="1:6" x14ac:dyDescent="0.2">
      <c r="A698" s="262" t="s">
        <v>159</v>
      </c>
      <c r="B698" s="272">
        <v>444394</v>
      </c>
      <c r="C698" s="273">
        <v>500000</v>
      </c>
      <c r="D698" s="277">
        <f t="shared" si="88"/>
        <v>529000</v>
      </c>
      <c r="E698" s="277">
        <f t="shared" si="90"/>
        <v>559700</v>
      </c>
    </row>
    <row r="699" spans="1:6" x14ac:dyDescent="0.2">
      <c r="A699" s="262" t="s">
        <v>216</v>
      </c>
      <c r="B699" s="272">
        <v>1200000</v>
      </c>
      <c r="C699" s="273">
        <v>200000</v>
      </c>
      <c r="D699" s="277">
        <f t="shared" si="88"/>
        <v>211600</v>
      </c>
      <c r="E699" s="277">
        <f t="shared" si="90"/>
        <v>223900</v>
      </c>
    </row>
    <row r="700" spans="1:6" x14ac:dyDescent="0.2">
      <c r="A700" s="262" t="s">
        <v>152</v>
      </c>
      <c r="B700" s="272">
        <v>110000</v>
      </c>
      <c r="C700" s="273">
        <v>50000</v>
      </c>
      <c r="D700" s="277">
        <f t="shared" si="88"/>
        <v>52900</v>
      </c>
      <c r="E700" s="277">
        <f t="shared" si="90"/>
        <v>56000</v>
      </c>
    </row>
    <row r="701" spans="1:6" x14ac:dyDescent="0.2">
      <c r="A701" s="262" t="s">
        <v>480</v>
      </c>
      <c r="B701" s="272">
        <v>0</v>
      </c>
      <c r="C701" s="273">
        <v>0</v>
      </c>
      <c r="D701" s="277">
        <f t="shared" si="88"/>
        <v>0</v>
      </c>
      <c r="E701" s="277">
        <f t="shared" si="90"/>
        <v>0</v>
      </c>
    </row>
    <row r="702" spans="1:6" x14ac:dyDescent="0.2">
      <c r="A702" s="262" t="s">
        <v>409</v>
      </c>
      <c r="B702" s="272">
        <v>200000</v>
      </c>
      <c r="C702" s="273">
        <v>200000</v>
      </c>
      <c r="D702" s="277">
        <f t="shared" si="88"/>
        <v>211600</v>
      </c>
      <c r="E702" s="277">
        <f t="shared" si="90"/>
        <v>223900</v>
      </c>
    </row>
    <row r="703" spans="1:6" x14ac:dyDescent="0.2">
      <c r="A703" s="262" t="s">
        <v>410</v>
      </c>
      <c r="B703" s="272">
        <v>0</v>
      </c>
      <c r="C703" s="273">
        <v>0</v>
      </c>
      <c r="D703" s="277">
        <f t="shared" si="88"/>
        <v>0</v>
      </c>
      <c r="E703" s="277">
        <f t="shared" si="90"/>
        <v>0</v>
      </c>
    </row>
    <row r="704" spans="1:6" x14ac:dyDescent="0.2">
      <c r="A704" s="262" t="s">
        <v>154</v>
      </c>
      <c r="B704" s="272">
        <v>0</v>
      </c>
      <c r="C704" s="273">
        <v>0</v>
      </c>
      <c r="D704" s="277">
        <f t="shared" si="88"/>
        <v>0</v>
      </c>
      <c r="E704" s="277">
        <f t="shared" si="90"/>
        <v>0</v>
      </c>
    </row>
    <row r="705" spans="1:5" x14ac:dyDescent="0.2">
      <c r="A705" s="262" t="s">
        <v>146</v>
      </c>
      <c r="B705" s="272">
        <v>600000</v>
      </c>
      <c r="C705" s="273">
        <v>600000</v>
      </c>
      <c r="D705" s="277">
        <f>ROUND(+C705*(1+D$1),-2)</f>
        <v>634800</v>
      </c>
      <c r="E705" s="277">
        <f>ROUND(+D705*(1+E$1),-2)</f>
        <v>671600</v>
      </c>
    </row>
    <row r="706" spans="1:5" x14ac:dyDescent="0.2">
      <c r="A706" s="262" t="s">
        <v>243</v>
      </c>
      <c r="B706" s="272">
        <v>900000</v>
      </c>
      <c r="C706" s="273">
        <v>800000</v>
      </c>
      <c r="D706" s="277">
        <f t="shared" si="88"/>
        <v>846400</v>
      </c>
      <c r="E706" s="277">
        <f t="shared" si="90"/>
        <v>895500</v>
      </c>
    </row>
    <row r="707" spans="1:5" x14ac:dyDescent="0.2">
      <c r="A707" s="262" t="s">
        <v>3</v>
      </c>
      <c r="B707" s="272">
        <v>0</v>
      </c>
      <c r="C707" s="273">
        <v>0</v>
      </c>
      <c r="D707" s="277">
        <f t="shared" si="88"/>
        <v>0</v>
      </c>
      <c r="E707" s="277">
        <f t="shared" si="90"/>
        <v>0</v>
      </c>
    </row>
    <row r="708" spans="1:5" x14ac:dyDescent="0.2">
      <c r="A708" s="262" t="s">
        <v>309</v>
      </c>
      <c r="B708" s="272">
        <v>100000</v>
      </c>
      <c r="C708" s="273">
        <v>200000</v>
      </c>
      <c r="D708" s="277">
        <f>ROUND(+C708*(1+D$1),-2)</f>
        <v>211600</v>
      </c>
      <c r="E708" s="277">
        <f>ROUND(+D708*(1+E$1),-2)</f>
        <v>223900</v>
      </c>
    </row>
    <row r="709" spans="1:5" x14ac:dyDescent="0.2">
      <c r="A709" s="262" t="s">
        <v>155</v>
      </c>
      <c r="B709" s="272">
        <v>250000</v>
      </c>
      <c r="C709" s="273">
        <v>250000</v>
      </c>
      <c r="D709" s="277">
        <v>265600</v>
      </c>
      <c r="E709" s="277">
        <v>280000</v>
      </c>
    </row>
    <row r="710" spans="1:5" x14ac:dyDescent="0.2">
      <c r="A710" s="262" t="s">
        <v>156</v>
      </c>
      <c r="B710" s="272">
        <v>19272</v>
      </c>
      <c r="C710" s="273">
        <v>19272</v>
      </c>
      <c r="D710" s="277">
        <f t="shared" si="88"/>
        <v>20400</v>
      </c>
      <c r="E710" s="277">
        <f t="shared" si="90"/>
        <v>21600</v>
      </c>
    </row>
    <row r="711" spans="1:5" ht="12" thickBot="1" x14ac:dyDescent="0.25">
      <c r="A711" s="262" t="s">
        <v>210</v>
      </c>
      <c r="B711" s="274">
        <f>SUM(B678:B710)</f>
        <v>14776965</v>
      </c>
      <c r="C711" s="275">
        <f>SUM(C678:C710)</f>
        <v>14169341</v>
      </c>
      <c r="D711" s="289">
        <f>SUM(D678:D710)</f>
        <v>14992300</v>
      </c>
      <c r="E711" s="289">
        <f>SUM(E678:E710)</f>
        <v>15860900</v>
      </c>
    </row>
    <row r="712" spans="1:5" ht="12" thickTop="1" x14ac:dyDescent="0.2">
      <c r="C712" s="273"/>
      <c r="D712" s="277"/>
      <c r="E712" s="277"/>
    </row>
    <row r="713" spans="1:5" x14ac:dyDescent="0.2">
      <c r="A713" s="270" t="s">
        <v>211</v>
      </c>
      <c r="C713" s="273"/>
      <c r="D713" s="277"/>
      <c r="E713" s="277"/>
    </row>
    <row r="714" spans="1:5" x14ac:dyDescent="0.2">
      <c r="A714" s="262"/>
      <c r="C714" s="273"/>
      <c r="D714" s="277"/>
      <c r="E714" s="277"/>
    </row>
    <row r="715" spans="1:5" x14ac:dyDescent="0.2">
      <c r="A715" s="262" t="s">
        <v>244</v>
      </c>
      <c r="B715" s="272">
        <v>0</v>
      </c>
      <c r="C715" s="273">
        <v>0</v>
      </c>
      <c r="D715" s="277">
        <f t="shared" ref="D715:D719" si="91">ROUND(+C715*(1+D$1),-2)</f>
        <v>0</v>
      </c>
      <c r="E715" s="277">
        <f t="shared" ref="E715:E719" si="92">ROUND(+D715*(1+E$1),-2)</f>
        <v>0</v>
      </c>
    </row>
    <row r="716" spans="1:5" x14ac:dyDescent="0.2">
      <c r="A716" s="262" t="s">
        <v>245</v>
      </c>
      <c r="B716" s="272">
        <v>0</v>
      </c>
      <c r="C716" s="273">
        <v>0</v>
      </c>
      <c r="D716" s="277">
        <f t="shared" si="91"/>
        <v>0</v>
      </c>
      <c r="E716" s="277">
        <f t="shared" si="92"/>
        <v>0</v>
      </c>
    </row>
    <row r="717" spans="1:5" x14ac:dyDescent="0.2">
      <c r="A717" s="262" t="s">
        <v>246</v>
      </c>
      <c r="B717" s="272">
        <v>11109</v>
      </c>
      <c r="C717" s="273">
        <v>11109</v>
      </c>
      <c r="D717" s="277">
        <f t="shared" si="91"/>
        <v>11800</v>
      </c>
      <c r="E717" s="277">
        <f t="shared" si="92"/>
        <v>12500</v>
      </c>
    </row>
    <row r="718" spans="1:5" x14ac:dyDescent="0.2">
      <c r="A718" s="262" t="s">
        <v>510</v>
      </c>
      <c r="B718" s="272">
        <f>1980000+769000</f>
        <v>2749000</v>
      </c>
      <c r="C718" s="273">
        <v>1800000</v>
      </c>
      <c r="D718" s="277">
        <v>2100000</v>
      </c>
      <c r="E718" s="277">
        <f t="shared" si="92"/>
        <v>2221800</v>
      </c>
    </row>
    <row r="719" spans="1:5" x14ac:dyDescent="0.2">
      <c r="A719" s="262" t="s">
        <v>247</v>
      </c>
      <c r="B719" s="272">
        <v>0</v>
      </c>
      <c r="C719" s="273"/>
      <c r="D719" s="277">
        <f t="shared" si="91"/>
        <v>0</v>
      </c>
      <c r="E719" s="277">
        <f t="shared" si="92"/>
        <v>0</v>
      </c>
    </row>
    <row r="720" spans="1:5" x14ac:dyDescent="0.2">
      <c r="B720" s="272"/>
      <c r="C720" s="273"/>
      <c r="D720" s="277"/>
      <c r="E720" s="277"/>
    </row>
    <row r="721" spans="1:5" ht="12" thickBot="1" x14ac:dyDescent="0.25">
      <c r="A721" s="262" t="s">
        <v>212</v>
      </c>
      <c r="B721" s="274">
        <f>SUM(B715:B720)</f>
        <v>2760109</v>
      </c>
      <c r="C721" s="275">
        <f>SUM(C715:C720)</f>
        <v>1811109</v>
      </c>
      <c r="D721" s="289">
        <f>SUM(D715:D720)</f>
        <v>2111800</v>
      </c>
      <c r="E721" s="289">
        <f>SUM(E715:E720)</f>
        <v>2234300</v>
      </c>
    </row>
    <row r="722" spans="1:5" ht="12" thickTop="1" x14ac:dyDescent="0.2">
      <c r="C722" s="273"/>
      <c r="D722" s="277"/>
      <c r="E722" s="277"/>
    </row>
    <row r="723" spans="1:5" x14ac:dyDescent="0.2">
      <c r="A723" s="270" t="s">
        <v>213</v>
      </c>
      <c r="C723" s="273"/>
      <c r="D723" s="277"/>
      <c r="E723" s="277"/>
    </row>
    <row r="724" spans="1:5" x14ac:dyDescent="0.2">
      <c r="A724" s="262"/>
      <c r="C724" s="273"/>
      <c r="D724" s="277"/>
      <c r="E724" s="277"/>
    </row>
    <row r="725" spans="1:5" x14ac:dyDescent="0.2">
      <c r="C725" s="273"/>
      <c r="D725" s="277"/>
      <c r="E725" s="277"/>
    </row>
    <row r="726" spans="1:5" ht="12" thickBot="1" x14ac:dyDescent="0.25">
      <c r="A726" s="262" t="s">
        <v>214</v>
      </c>
      <c r="B726" s="276">
        <f>B737</f>
        <v>0</v>
      </c>
      <c r="C726" s="275">
        <f>C737</f>
        <v>0</v>
      </c>
      <c r="D726" s="289">
        <f>D737</f>
        <v>0</v>
      </c>
      <c r="E726" s="289">
        <f>E737</f>
        <v>0</v>
      </c>
    </row>
    <row r="727" spans="1:5" ht="12" thickTop="1" x14ac:dyDescent="0.2">
      <c r="C727" s="273"/>
      <c r="D727" s="277"/>
      <c r="E727" s="277"/>
    </row>
    <row r="728" spans="1:5" x14ac:dyDescent="0.2">
      <c r="C728" s="273"/>
      <c r="D728" s="277"/>
      <c r="E728" s="277"/>
    </row>
    <row r="729" spans="1:5" ht="12" thickBot="1" x14ac:dyDescent="0.25">
      <c r="A729" s="262" t="s">
        <v>121</v>
      </c>
      <c r="B729" s="274">
        <f>B726+B721+B711+B674</f>
        <v>31360253</v>
      </c>
      <c r="C729" s="275">
        <f>C726+C721+C711+C674</f>
        <v>36322725.634141669</v>
      </c>
      <c r="D729" s="289">
        <f>D726+D721+D711+D674</f>
        <v>38625000</v>
      </c>
      <c r="E729" s="289">
        <f>E726+E721+E711+E674</f>
        <v>40864400</v>
      </c>
    </row>
    <row r="730" spans="1:5" ht="12" thickTop="1" x14ac:dyDescent="0.2">
      <c r="C730" s="273"/>
      <c r="D730" s="277"/>
      <c r="E730" s="277"/>
    </row>
    <row r="731" spans="1:5" x14ac:dyDescent="0.2">
      <c r="A731" s="270" t="s">
        <v>213</v>
      </c>
      <c r="C731" s="273"/>
      <c r="D731" s="277"/>
      <c r="E731" s="277"/>
    </row>
    <row r="732" spans="1:5" x14ac:dyDescent="0.2">
      <c r="A732" s="262"/>
      <c r="C732" s="273"/>
      <c r="D732" s="277"/>
      <c r="E732" s="277"/>
    </row>
    <row r="733" spans="1:5" x14ac:dyDescent="0.2">
      <c r="A733" s="262" t="s">
        <v>250</v>
      </c>
      <c r="B733" s="272">
        <v>0</v>
      </c>
      <c r="C733" s="273">
        <v>0</v>
      </c>
      <c r="D733" s="277">
        <f t="shared" ref="D733:D735" si="93">ROUND(+C733*(1+D$1),-2)</f>
        <v>0</v>
      </c>
      <c r="E733" s="277">
        <f t="shared" ref="E733:E735" si="94">ROUND(+D733*(1+E$1),-2)</f>
        <v>0</v>
      </c>
    </row>
    <row r="734" spans="1:5" x14ac:dyDescent="0.2">
      <c r="A734" s="262" t="s">
        <v>251</v>
      </c>
      <c r="B734" s="272">
        <v>0</v>
      </c>
      <c r="C734" s="273">
        <v>0</v>
      </c>
      <c r="D734" s="277">
        <f t="shared" si="93"/>
        <v>0</v>
      </c>
      <c r="E734" s="277">
        <f t="shared" si="94"/>
        <v>0</v>
      </c>
    </row>
    <row r="735" spans="1:5" x14ac:dyDescent="0.2">
      <c r="A735" s="262" t="s">
        <v>252</v>
      </c>
      <c r="C735" s="273">
        <v>0</v>
      </c>
      <c r="D735" s="277">
        <f t="shared" si="93"/>
        <v>0</v>
      </c>
      <c r="E735" s="277">
        <f t="shared" si="94"/>
        <v>0</v>
      </c>
    </row>
    <row r="736" spans="1:5" x14ac:dyDescent="0.2">
      <c r="C736" s="273"/>
      <c r="D736" s="277"/>
      <c r="E736" s="277"/>
    </row>
    <row r="737" spans="1:5" ht="12" thickBot="1" x14ac:dyDescent="0.25">
      <c r="A737" s="262" t="s">
        <v>129</v>
      </c>
      <c r="B737" s="276">
        <f>SUM(B733:B736)</f>
        <v>0</v>
      </c>
      <c r="C737" s="275">
        <f>SUM(C733:C736)</f>
        <v>0</v>
      </c>
      <c r="D737" s="289">
        <f>SUM(D733:D736)</f>
        <v>0</v>
      </c>
      <c r="E737" s="289">
        <f>SUM(E733:E736)</f>
        <v>0</v>
      </c>
    </row>
    <row r="738" spans="1:5" ht="12" thickTop="1" x14ac:dyDescent="0.2">
      <c r="C738" s="273"/>
      <c r="D738" s="277"/>
      <c r="E738" s="277"/>
    </row>
    <row r="739" spans="1:5" x14ac:dyDescent="0.2">
      <c r="A739" s="262"/>
      <c r="B739" s="263" t="s">
        <v>522</v>
      </c>
      <c r="C739" s="333" t="s">
        <v>522</v>
      </c>
      <c r="D739" s="277"/>
      <c r="E739" s="277"/>
    </row>
    <row r="740" spans="1:5" x14ac:dyDescent="0.2">
      <c r="A740" s="262"/>
      <c r="B740" s="263" t="str">
        <f t="shared" ref="B740:D741" si="95">B8</f>
        <v xml:space="preserve"> Budget</v>
      </c>
      <c r="C740" s="299" t="str">
        <f t="shared" si="95"/>
        <v>Budget</v>
      </c>
      <c r="D740" s="300" t="str">
        <f t="shared" si="95"/>
        <v>Budget</v>
      </c>
      <c r="E740" s="300" t="s">
        <v>207</v>
      </c>
    </row>
    <row r="741" spans="1:5" x14ac:dyDescent="0.2">
      <c r="B741" s="263" t="str">
        <f t="shared" si="95"/>
        <v>2016/2017</v>
      </c>
      <c r="C741" s="299" t="str">
        <f t="shared" si="95"/>
        <v>2017/2018</v>
      </c>
      <c r="D741" s="300" t="str">
        <f t="shared" si="95"/>
        <v>2018/2019</v>
      </c>
      <c r="E741" s="302" t="str">
        <f>E9</f>
        <v>2019/2020</v>
      </c>
    </row>
    <row r="742" spans="1:5" x14ac:dyDescent="0.2">
      <c r="A742" s="262"/>
      <c r="C742" s="273"/>
      <c r="D742" s="277"/>
      <c r="E742" s="277"/>
    </row>
    <row r="743" spans="1:5" ht="15.75" x14ac:dyDescent="0.25">
      <c r="A743" s="269" t="s">
        <v>112</v>
      </c>
      <c r="C743" s="273"/>
      <c r="D743" s="277"/>
      <c r="E743" s="277"/>
    </row>
    <row r="744" spans="1:5" x14ac:dyDescent="0.2">
      <c r="A744" s="262"/>
      <c r="C744" s="273"/>
      <c r="D744" s="277"/>
      <c r="E744" s="277"/>
    </row>
    <row r="745" spans="1:5" x14ac:dyDescent="0.2">
      <c r="A745" s="270" t="s">
        <v>208</v>
      </c>
      <c r="C745" s="273"/>
      <c r="D745" s="277"/>
      <c r="E745" s="277"/>
    </row>
    <row r="746" spans="1:5" x14ac:dyDescent="0.2">
      <c r="A746" s="262"/>
      <c r="C746" s="273"/>
      <c r="D746" s="277"/>
      <c r="E746" s="277"/>
    </row>
    <row r="747" spans="1:5" x14ac:dyDescent="0.2">
      <c r="A747" s="262" t="s">
        <v>161</v>
      </c>
      <c r="B747" s="272">
        <v>3600800</v>
      </c>
      <c r="C747" s="273">
        <f>REMUNERATION!F185</f>
        <v>3838440.9600000009</v>
      </c>
      <c r="D747" s="277">
        <f t="shared" ref="D747:D759" si="96">ROUND(+C747*(1+D$1),-2)</f>
        <v>4061100</v>
      </c>
      <c r="E747" s="277">
        <f t="shared" ref="E747:E759" si="97">ROUND(+D747*(1+E$1),-2)</f>
        <v>4296600</v>
      </c>
    </row>
    <row r="748" spans="1:5" x14ac:dyDescent="0.2">
      <c r="A748" s="262" t="s">
        <v>195</v>
      </c>
      <c r="B748" s="272">
        <v>324406</v>
      </c>
      <c r="C748" s="273">
        <f>REMUNERATION!N185</f>
        <v>344801.55080000003</v>
      </c>
      <c r="D748" s="277">
        <f t="shared" si="96"/>
        <v>364800</v>
      </c>
      <c r="E748" s="277">
        <f t="shared" si="97"/>
        <v>386000</v>
      </c>
    </row>
    <row r="749" spans="1:5" x14ac:dyDescent="0.2">
      <c r="A749" s="262" t="s">
        <v>157</v>
      </c>
      <c r="B749" s="272">
        <v>30000</v>
      </c>
      <c r="C749" s="273">
        <f>REMUNERATION!O185</f>
        <v>80000</v>
      </c>
      <c r="D749" s="277">
        <f t="shared" si="96"/>
        <v>84600</v>
      </c>
      <c r="E749" s="277">
        <f t="shared" si="97"/>
        <v>89500</v>
      </c>
    </row>
    <row r="750" spans="1:5" x14ac:dyDescent="0.2">
      <c r="A750" s="262" t="s">
        <v>162</v>
      </c>
      <c r="B750" s="272">
        <v>50400</v>
      </c>
      <c r="C750" s="273">
        <f>REMUNERATION!I185</f>
        <v>50400</v>
      </c>
      <c r="D750" s="277">
        <f t="shared" si="96"/>
        <v>53300</v>
      </c>
      <c r="E750" s="277">
        <f t="shared" si="97"/>
        <v>56400</v>
      </c>
    </row>
    <row r="751" spans="1:5" x14ac:dyDescent="0.2">
      <c r="A751" s="262" t="s">
        <v>163</v>
      </c>
      <c r="B751" s="272">
        <v>328126</v>
      </c>
      <c r="C751" s="273">
        <f>REMUNERATION!H185</f>
        <v>347925.48000000004</v>
      </c>
      <c r="D751" s="277">
        <f t="shared" si="96"/>
        <v>368100</v>
      </c>
      <c r="E751" s="277">
        <f t="shared" si="97"/>
        <v>389400</v>
      </c>
    </row>
    <row r="752" spans="1:5" x14ac:dyDescent="0.2">
      <c r="A752" s="262" t="s">
        <v>164</v>
      </c>
      <c r="B752" s="272">
        <v>55000</v>
      </c>
      <c r="C752" s="273">
        <f>REMUNERATION!E184</f>
        <v>55000</v>
      </c>
      <c r="D752" s="277">
        <f t="shared" si="96"/>
        <v>58200</v>
      </c>
      <c r="E752" s="277">
        <f t="shared" si="97"/>
        <v>61600</v>
      </c>
    </row>
    <row r="753" spans="1:5" x14ac:dyDescent="0.2">
      <c r="A753" s="262" t="s">
        <v>133</v>
      </c>
      <c r="B753" s="272">
        <v>677446</v>
      </c>
      <c r="C753" s="273">
        <f>REMUNERATION!G185</f>
        <v>723873.98880000017</v>
      </c>
      <c r="D753" s="277">
        <f t="shared" si="96"/>
        <v>765900</v>
      </c>
      <c r="E753" s="277">
        <f t="shared" si="97"/>
        <v>810300</v>
      </c>
    </row>
    <row r="754" spans="1:5" x14ac:dyDescent="0.2">
      <c r="A754" s="262" t="s">
        <v>165</v>
      </c>
      <c r="B754" s="272">
        <v>1031280</v>
      </c>
      <c r="C754" s="273">
        <f>REMUNERATION!K185</f>
        <v>1031280</v>
      </c>
      <c r="D754" s="277">
        <f t="shared" si="96"/>
        <v>1091100</v>
      </c>
      <c r="E754" s="277">
        <f t="shared" si="97"/>
        <v>1154400</v>
      </c>
    </row>
    <row r="755" spans="1:5" x14ac:dyDescent="0.2">
      <c r="A755" s="262" t="s">
        <v>275</v>
      </c>
      <c r="B755" s="272">
        <v>68507</v>
      </c>
      <c r="C755" s="273">
        <v>0</v>
      </c>
      <c r="D755" s="277"/>
      <c r="E755" s="277"/>
    </row>
    <row r="756" spans="1:5" x14ac:dyDescent="0.2">
      <c r="A756" s="262" t="s">
        <v>4</v>
      </c>
      <c r="B756" s="272">
        <v>0</v>
      </c>
      <c r="C756" s="273">
        <v>0</v>
      </c>
      <c r="D756" s="277">
        <f t="shared" si="96"/>
        <v>0</v>
      </c>
      <c r="E756" s="277">
        <f t="shared" ref="E756" si="98">ROUND(+D756*(1+E$1),-2)</f>
        <v>0</v>
      </c>
    </row>
    <row r="757" spans="1:5" x14ac:dyDescent="0.2">
      <c r="A757" s="262" t="s">
        <v>166</v>
      </c>
      <c r="B757" s="272">
        <v>11556</v>
      </c>
      <c r="C757" s="273">
        <f>REMUNERATION!J185</f>
        <v>13482</v>
      </c>
      <c r="D757" s="277">
        <f t="shared" si="96"/>
        <v>14300</v>
      </c>
      <c r="E757" s="277">
        <f t="shared" si="97"/>
        <v>15100</v>
      </c>
    </row>
    <row r="758" spans="1:5" x14ac:dyDescent="0.2">
      <c r="A758" s="262" t="s">
        <v>167</v>
      </c>
      <c r="B758" s="272">
        <v>39921</v>
      </c>
      <c r="C758" s="273">
        <f>REMUNERATION!M185</f>
        <v>42206.842100000009</v>
      </c>
      <c r="D758" s="277">
        <v>45000</v>
      </c>
      <c r="E758" s="277">
        <f t="shared" si="97"/>
        <v>47600</v>
      </c>
    </row>
    <row r="759" spans="1:5" x14ac:dyDescent="0.2">
      <c r="A759" s="262" t="s">
        <v>168</v>
      </c>
      <c r="B759" s="272">
        <v>651</v>
      </c>
      <c r="C759" s="273">
        <f>REMUNERATION!L185</f>
        <v>651</v>
      </c>
      <c r="D759" s="277">
        <f t="shared" si="96"/>
        <v>700</v>
      </c>
      <c r="E759" s="277">
        <f t="shared" si="97"/>
        <v>700</v>
      </c>
    </row>
    <row r="760" spans="1:5" x14ac:dyDescent="0.2">
      <c r="C760" s="273"/>
      <c r="D760" s="277"/>
      <c r="E760" s="277"/>
    </row>
    <row r="761" spans="1:5" ht="12" thickBot="1" x14ac:dyDescent="0.25">
      <c r="A761" s="262" t="s">
        <v>209</v>
      </c>
      <c r="B761" s="274">
        <f>SUM(B747:B760)</f>
        <v>6218093</v>
      </c>
      <c r="C761" s="275">
        <f>SUM(C747:C760)</f>
        <v>6528061.8217000011</v>
      </c>
      <c r="D761" s="289">
        <f>SUM(D747:D760)</f>
        <v>6907100</v>
      </c>
      <c r="E761" s="289">
        <f>SUM(E747:E760)</f>
        <v>7307600</v>
      </c>
    </row>
    <row r="762" spans="1:5" ht="12" thickTop="1" x14ac:dyDescent="0.2">
      <c r="C762" s="273"/>
      <c r="D762" s="277"/>
      <c r="E762" s="277"/>
    </row>
    <row r="763" spans="1:5" x14ac:dyDescent="0.2">
      <c r="A763" s="270" t="s">
        <v>203</v>
      </c>
      <c r="C763" s="273"/>
      <c r="D763" s="277"/>
      <c r="E763" s="277"/>
    </row>
    <row r="764" spans="1:5" x14ac:dyDescent="0.2">
      <c r="A764" s="262"/>
      <c r="C764" s="273"/>
      <c r="D764" s="277"/>
      <c r="E764" s="277"/>
    </row>
    <row r="765" spans="1:5" x14ac:dyDescent="0.2">
      <c r="A765" s="262" t="s">
        <v>147</v>
      </c>
      <c r="B765" s="272">
        <v>8655</v>
      </c>
      <c r="C765" s="273">
        <v>8655</v>
      </c>
      <c r="D765" s="277">
        <f t="shared" ref="D765:D772" si="99">ROUND(+C765*(1+D$1),-2)</f>
        <v>9200</v>
      </c>
      <c r="E765" s="277">
        <f t="shared" ref="E765:E772" si="100">ROUND(+D765*(1+E$1),-2)</f>
        <v>9700</v>
      </c>
    </row>
    <row r="766" spans="1:5" x14ac:dyDescent="0.2">
      <c r="A766" s="262" t="s">
        <v>141</v>
      </c>
      <c r="B766" s="272">
        <v>0</v>
      </c>
      <c r="C766" s="273"/>
      <c r="D766" s="277">
        <f t="shared" si="99"/>
        <v>0</v>
      </c>
      <c r="E766" s="277">
        <f t="shared" si="100"/>
        <v>0</v>
      </c>
    </row>
    <row r="767" spans="1:5" x14ac:dyDescent="0.2">
      <c r="A767" s="262" t="s">
        <v>169</v>
      </c>
      <c r="B767" s="272">
        <v>0</v>
      </c>
      <c r="C767" s="273">
        <v>7000000</v>
      </c>
      <c r="D767" s="277">
        <v>0</v>
      </c>
      <c r="E767" s="277">
        <f t="shared" si="100"/>
        <v>0</v>
      </c>
    </row>
    <row r="768" spans="1:5" x14ac:dyDescent="0.2">
      <c r="A768" s="262" t="s">
        <v>159</v>
      </c>
      <c r="B768" s="272">
        <v>52161</v>
      </c>
      <c r="C768" s="273">
        <v>52161</v>
      </c>
      <c r="D768" s="277">
        <f t="shared" si="99"/>
        <v>55200</v>
      </c>
      <c r="E768" s="277">
        <f t="shared" si="100"/>
        <v>58400</v>
      </c>
    </row>
    <row r="769" spans="1:5" x14ac:dyDescent="0.2">
      <c r="A769" s="248" t="s">
        <v>152</v>
      </c>
      <c r="B769" s="272">
        <v>0</v>
      </c>
      <c r="C769" s="273">
        <v>0</v>
      </c>
      <c r="D769" s="277">
        <f t="shared" si="99"/>
        <v>0</v>
      </c>
      <c r="E769" s="277">
        <f t="shared" si="100"/>
        <v>0</v>
      </c>
    </row>
    <row r="770" spans="1:5" x14ac:dyDescent="0.2">
      <c r="A770" s="262" t="s">
        <v>279</v>
      </c>
      <c r="B770" s="272">
        <v>8847</v>
      </c>
      <c r="C770" s="273">
        <v>8847</v>
      </c>
      <c r="D770" s="277">
        <f t="shared" si="99"/>
        <v>9400</v>
      </c>
      <c r="E770" s="277">
        <f t="shared" si="100"/>
        <v>9900</v>
      </c>
    </row>
    <row r="771" spans="1:5" x14ac:dyDescent="0.2">
      <c r="A771" s="248" t="s">
        <v>101</v>
      </c>
      <c r="B771" s="272">
        <v>40000</v>
      </c>
      <c r="C771" s="273">
        <v>40000</v>
      </c>
      <c r="D771" s="277">
        <f t="shared" si="99"/>
        <v>42300</v>
      </c>
      <c r="E771" s="277">
        <f t="shared" si="100"/>
        <v>44800</v>
      </c>
    </row>
    <row r="772" spans="1:5" x14ac:dyDescent="0.2">
      <c r="A772" s="262" t="s">
        <v>265</v>
      </c>
      <c r="B772" s="272">
        <v>0</v>
      </c>
      <c r="C772" s="273">
        <v>0</v>
      </c>
      <c r="D772" s="277">
        <f t="shared" si="99"/>
        <v>0</v>
      </c>
      <c r="E772" s="277">
        <f t="shared" si="100"/>
        <v>0</v>
      </c>
    </row>
    <row r="773" spans="1:5" x14ac:dyDescent="0.2">
      <c r="A773" s="262" t="s">
        <v>155</v>
      </c>
      <c r="B773" s="272">
        <v>340000</v>
      </c>
      <c r="C773" s="273">
        <v>400000</v>
      </c>
      <c r="D773" s="277">
        <v>423300</v>
      </c>
      <c r="E773" s="277">
        <v>447700</v>
      </c>
    </row>
    <row r="774" spans="1:5" ht="12" thickBot="1" x14ac:dyDescent="0.25">
      <c r="A774" s="262" t="s">
        <v>210</v>
      </c>
      <c r="B774" s="274">
        <f>SUM(B765:B773)</f>
        <v>449663</v>
      </c>
      <c r="C774" s="275">
        <f>SUM(C765:C773)</f>
        <v>7509663</v>
      </c>
      <c r="D774" s="289">
        <f>SUM(D765:D773)</f>
        <v>539400</v>
      </c>
      <c r="E774" s="289">
        <f>SUM(E765:E773)</f>
        <v>570500</v>
      </c>
    </row>
    <row r="775" spans="1:5" ht="12" thickTop="1" x14ac:dyDescent="0.2">
      <c r="C775" s="273"/>
      <c r="D775" s="277"/>
      <c r="E775" s="277"/>
    </row>
    <row r="776" spans="1:5" x14ac:dyDescent="0.2">
      <c r="A776" s="270" t="s">
        <v>211</v>
      </c>
      <c r="C776" s="273"/>
      <c r="D776" s="277"/>
      <c r="E776" s="277"/>
    </row>
    <row r="777" spans="1:5" x14ac:dyDescent="0.2">
      <c r="A777" s="262"/>
      <c r="C777" s="273"/>
      <c r="D777" s="277"/>
      <c r="E777" s="277"/>
    </row>
    <row r="778" spans="1:5" x14ac:dyDescent="0.2">
      <c r="A778" s="262" t="s">
        <v>244</v>
      </c>
      <c r="B778" s="272">
        <v>0</v>
      </c>
      <c r="C778" s="273">
        <f t="shared" ref="C778:C779" si="101">B778+B778*0.06</f>
        <v>0</v>
      </c>
      <c r="D778" s="277">
        <f t="shared" ref="D778:D779" si="102">ROUND(+C778*(1+D$1),-2)</f>
        <v>0</v>
      </c>
      <c r="E778" s="277">
        <f t="shared" ref="E778:E779" si="103">ROUND(+D778*(1+E$1),-2)</f>
        <v>0</v>
      </c>
    </row>
    <row r="779" spans="1:5" x14ac:dyDescent="0.2">
      <c r="A779" s="262" t="s">
        <v>245</v>
      </c>
      <c r="B779" s="272">
        <v>0</v>
      </c>
      <c r="C779" s="273">
        <f t="shared" si="101"/>
        <v>0</v>
      </c>
      <c r="D779" s="277">
        <f t="shared" si="102"/>
        <v>0</v>
      </c>
      <c r="E779" s="277">
        <f t="shared" si="103"/>
        <v>0</v>
      </c>
    </row>
    <row r="780" spans="1:5" x14ac:dyDescent="0.2">
      <c r="B780" s="272"/>
      <c r="C780" s="273"/>
      <c r="D780" s="277"/>
      <c r="E780" s="277"/>
    </row>
    <row r="781" spans="1:5" ht="12" thickBot="1" x14ac:dyDescent="0.25">
      <c r="A781" s="262" t="s">
        <v>212</v>
      </c>
      <c r="B781" s="274">
        <f>SUM(B778:B780)</f>
        <v>0</v>
      </c>
      <c r="C781" s="275">
        <f>SUM(C778:C780)</f>
        <v>0</v>
      </c>
      <c r="D781" s="289">
        <f>SUM(D778:D780)</f>
        <v>0</v>
      </c>
      <c r="E781" s="289">
        <f>SUM(E778:E780)</f>
        <v>0</v>
      </c>
    </row>
    <row r="782" spans="1:5" ht="12" thickTop="1" x14ac:dyDescent="0.2">
      <c r="C782" s="273"/>
      <c r="D782" s="277"/>
      <c r="E782" s="277"/>
    </row>
    <row r="783" spans="1:5" x14ac:dyDescent="0.2">
      <c r="A783" s="270" t="s">
        <v>213</v>
      </c>
      <c r="C783" s="273"/>
      <c r="D783" s="277"/>
      <c r="E783" s="277"/>
    </row>
    <row r="784" spans="1:5" x14ac:dyDescent="0.2">
      <c r="A784" s="262"/>
      <c r="C784" s="273"/>
      <c r="D784" s="277"/>
      <c r="E784" s="277"/>
    </row>
    <row r="785" spans="1:5" x14ac:dyDescent="0.2">
      <c r="C785" s="273"/>
      <c r="D785" s="277"/>
      <c r="E785" s="277"/>
    </row>
    <row r="786" spans="1:5" ht="12" thickBot="1" x14ac:dyDescent="0.25">
      <c r="A786" s="262" t="s">
        <v>214</v>
      </c>
      <c r="B786" s="276">
        <f>B797</f>
        <v>0</v>
      </c>
      <c r="C786" s="275">
        <f>C797</f>
        <v>0</v>
      </c>
      <c r="D786" s="289">
        <f>D797</f>
        <v>0</v>
      </c>
      <c r="E786" s="289">
        <f>E797</f>
        <v>0</v>
      </c>
    </row>
    <row r="787" spans="1:5" ht="12" thickTop="1" x14ac:dyDescent="0.2">
      <c r="C787" s="273"/>
      <c r="D787" s="277"/>
      <c r="E787" s="277"/>
    </row>
    <row r="788" spans="1:5" x14ac:dyDescent="0.2">
      <c r="C788" s="273"/>
      <c r="D788" s="277"/>
      <c r="E788" s="277"/>
    </row>
    <row r="789" spans="1:5" ht="12" thickBot="1" x14ac:dyDescent="0.25">
      <c r="A789" s="262" t="s">
        <v>121</v>
      </c>
      <c r="B789" s="274">
        <f>B786+B781+B774+B761</f>
        <v>6667756</v>
      </c>
      <c r="C789" s="275">
        <f>C786+C781+C774+C761</f>
        <v>14037724.821700001</v>
      </c>
      <c r="D789" s="289">
        <f>D786+D781+D774+D761</f>
        <v>7446500</v>
      </c>
      <c r="E789" s="289">
        <f>E786+E781+E774+E761</f>
        <v>7878100</v>
      </c>
    </row>
    <row r="790" spans="1:5" ht="12" thickTop="1" x14ac:dyDescent="0.2">
      <c r="C790" s="273"/>
      <c r="D790" s="277"/>
      <c r="E790" s="277"/>
    </row>
    <row r="791" spans="1:5" x14ac:dyDescent="0.2">
      <c r="A791" s="270" t="s">
        <v>213</v>
      </c>
      <c r="C791" s="273"/>
      <c r="D791" s="277"/>
      <c r="E791" s="277"/>
    </row>
    <row r="792" spans="1:5" x14ac:dyDescent="0.2">
      <c r="A792" s="262"/>
      <c r="C792" s="273"/>
      <c r="D792" s="277"/>
      <c r="E792" s="277"/>
    </row>
    <row r="793" spans="1:5" x14ac:dyDescent="0.2">
      <c r="A793" s="262" t="s">
        <v>250</v>
      </c>
      <c r="C793" s="273">
        <f t="shared" ref="C793:C796" si="104">B793+B793*0.06</f>
        <v>0</v>
      </c>
      <c r="D793" s="277">
        <f>ROUND(+C793*(1+D$1),-2)</f>
        <v>0</v>
      </c>
      <c r="E793" s="277">
        <f t="shared" ref="E793:E796" si="105">ROUND(+D793*(1+E$1),-2)</f>
        <v>0</v>
      </c>
    </row>
    <row r="794" spans="1:5" x14ac:dyDescent="0.2">
      <c r="A794" s="262" t="s">
        <v>251</v>
      </c>
      <c r="C794" s="273">
        <f t="shared" si="104"/>
        <v>0</v>
      </c>
      <c r="D794" s="277">
        <f>ROUND(+C794*(1+D$1),-2)</f>
        <v>0</v>
      </c>
      <c r="E794" s="277">
        <f t="shared" si="105"/>
        <v>0</v>
      </c>
    </row>
    <row r="795" spans="1:5" x14ac:dyDescent="0.2">
      <c r="A795" s="262" t="s">
        <v>252</v>
      </c>
      <c r="C795" s="273">
        <f t="shared" si="104"/>
        <v>0</v>
      </c>
      <c r="D795" s="277">
        <f>ROUND(+C795*(1+D$1),-2)</f>
        <v>0</v>
      </c>
      <c r="E795" s="277">
        <f t="shared" si="105"/>
        <v>0</v>
      </c>
    </row>
    <row r="796" spans="1:5" x14ac:dyDescent="0.2">
      <c r="A796" s="248" t="s">
        <v>83</v>
      </c>
      <c r="B796" s="272">
        <v>0</v>
      </c>
      <c r="C796" s="273">
        <f t="shared" si="104"/>
        <v>0</v>
      </c>
      <c r="D796" s="277">
        <f>ROUND(+C796*(1+D$1),-2)</f>
        <v>0</v>
      </c>
      <c r="E796" s="277">
        <f t="shared" si="105"/>
        <v>0</v>
      </c>
    </row>
    <row r="797" spans="1:5" ht="12" thickBot="1" x14ac:dyDescent="0.25">
      <c r="A797" s="262" t="s">
        <v>129</v>
      </c>
      <c r="B797" s="276">
        <f>SUM(B793:B796)</f>
        <v>0</v>
      </c>
      <c r="C797" s="275">
        <f>SUM(C793:C796)</f>
        <v>0</v>
      </c>
      <c r="D797" s="289">
        <f>SUM(D793:D796)</f>
        <v>0</v>
      </c>
      <c r="E797" s="289">
        <f>SUM(E793:E796)</f>
        <v>0</v>
      </c>
    </row>
    <row r="798" spans="1:5" ht="12" thickTop="1" x14ac:dyDescent="0.2">
      <c r="C798" s="273"/>
      <c r="D798" s="277"/>
      <c r="E798" s="277"/>
    </row>
    <row r="799" spans="1:5" x14ac:dyDescent="0.2">
      <c r="A799" s="262"/>
      <c r="B799" s="263" t="s">
        <v>522</v>
      </c>
      <c r="C799" s="333" t="s">
        <v>522</v>
      </c>
      <c r="D799" s="277"/>
      <c r="E799" s="277"/>
    </row>
    <row r="800" spans="1:5" x14ac:dyDescent="0.2">
      <c r="A800" s="262"/>
      <c r="B800" s="263" t="str">
        <f t="shared" ref="B800:D801" si="106">B8</f>
        <v xml:space="preserve"> Budget</v>
      </c>
      <c r="C800" s="299" t="str">
        <f t="shared" si="106"/>
        <v>Budget</v>
      </c>
      <c r="D800" s="300" t="str">
        <f t="shared" si="106"/>
        <v>Budget</v>
      </c>
      <c r="E800" s="300" t="s">
        <v>207</v>
      </c>
    </row>
    <row r="801" spans="1:5" x14ac:dyDescent="0.2">
      <c r="B801" s="263" t="str">
        <f t="shared" si="106"/>
        <v>2016/2017</v>
      </c>
      <c r="C801" s="299" t="str">
        <f t="shared" si="106"/>
        <v>2017/2018</v>
      </c>
      <c r="D801" s="300" t="str">
        <f t="shared" si="106"/>
        <v>2018/2019</v>
      </c>
      <c r="E801" s="302" t="str">
        <f>E9</f>
        <v>2019/2020</v>
      </c>
    </row>
    <row r="802" spans="1:5" x14ac:dyDescent="0.2">
      <c r="A802" s="262"/>
      <c r="C802" s="273"/>
      <c r="D802" s="277"/>
      <c r="E802" s="277"/>
    </row>
    <row r="803" spans="1:5" ht="15.75" x14ac:dyDescent="0.25">
      <c r="A803" s="269" t="s">
        <v>323</v>
      </c>
      <c r="C803" s="273"/>
      <c r="D803" s="277"/>
      <c r="E803" s="277"/>
    </row>
    <row r="804" spans="1:5" x14ac:dyDescent="0.2">
      <c r="A804" s="262"/>
      <c r="C804" s="273"/>
      <c r="D804" s="277"/>
      <c r="E804" s="277"/>
    </row>
    <row r="805" spans="1:5" x14ac:dyDescent="0.2">
      <c r="A805" s="270" t="s">
        <v>208</v>
      </c>
      <c r="C805" s="273"/>
      <c r="D805" s="277"/>
      <c r="E805" s="277"/>
    </row>
    <row r="806" spans="1:5" x14ac:dyDescent="0.2">
      <c r="A806" s="262"/>
      <c r="C806" s="273"/>
      <c r="D806" s="277"/>
      <c r="E806" s="277"/>
    </row>
    <row r="807" spans="1:5" x14ac:dyDescent="0.2">
      <c r="A807" s="262" t="s">
        <v>161</v>
      </c>
      <c r="B807" s="272">
        <v>6120286</v>
      </c>
      <c r="C807" s="273">
        <f>REMUNERATION!F231</f>
        <v>10120321.080000006</v>
      </c>
      <c r="D807" s="277">
        <f t="shared" ref="D807:D820" si="107">ROUND(+C807*(1+D$1),-2)</f>
        <v>10707300</v>
      </c>
      <c r="E807" s="277">
        <f t="shared" ref="E807:E819" si="108">ROUND(+D807*(1+E$1),-2)</f>
        <v>11328300</v>
      </c>
    </row>
    <row r="808" spans="1:5" x14ac:dyDescent="0.2">
      <c r="A808" s="262" t="s">
        <v>195</v>
      </c>
      <c r="B808" s="272">
        <v>511296</v>
      </c>
      <c r="C808" s="273">
        <f>REMUNERATION!N231</f>
        <v>846198.1152</v>
      </c>
      <c r="D808" s="277">
        <f t="shared" si="107"/>
        <v>895300</v>
      </c>
      <c r="E808" s="277">
        <f t="shared" si="108"/>
        <v>947200</v>
      </c>
    </row>
    <row r="809" spans="1:5" x14ac:dyDescent="0.2">
      <c r="A809" s="262" t="s">
        <v>157</v>
      </c>
      <c r="B809" s="272">
        <v>80000</v>
      </c>
      <c r="C809" s="273">
        <f>REMUNERATION!O231</f>
        <v>80000</v>
      </c>
      <c r="D809" s="277">
        <f t="shared" si="107"/>
        <v>84600</v>
      </c>
      <c r="E809" s="277">
        <f t="shared" si="108"/>
        <v>89500</v>
      </c>
    </row>
    <row r="810" spans="1:5" x14ac:dyDescent="0.2">
      <c r="A810" s="262" t="s">
        <v>162</v>
      </c>
      <c r="B810" s="272">
        <v>117600</v>
      </c>
      <c r="C810" s="273">
        <f>REMUNERATION!I231</f>
        <v>193200</v>
      </c>
      <c r="D810" s="277">
        <f t="shared" si="107"/>
        <v>204400</v>
      </c>
      <c r="E810" s="277">
        <f t="shared" si="108"/>
        <v>216300</v>
      </c>
    </row>
    <row r="811" spans="1:5" x14ac:dyDescent="0.2">
      <c r="A811" s="262" t="s">
        <v>163</v>
      </c>
      <c r="B811" s="272">
        <v>658628</v>
      </c>
      <c r="C811" s="273">
        <f>REMUNERATION!H231</f>
        <v>1192887.3599999999</v>
      </c>
      <c r="D811" s="277">
        <f t="shared" si="107"/>
        <v>1262100</v>
      </c>
      <c r="E811" s="277">
        <f t="shared" si="108"/>
        <v>1335300</v>
      </c>
    </row>
    <row r="812" spans="1:5" x14ac:dyDescent="0.2">
      <c r="A812" s="262" t="s">
        <v>164</v>
      </c>
      <c r="B812" s="272">
        <v>144000</v>
      </c>
      <c r="C812" s="273">
        <f>REMUNERATION!P231</f>
        <v>154000</v>
      </c>
      <c r="D812" s="277">
        <f t="shared" si="107"/>
        <v>162900</v>
      </c>
      <c r="E812" s="277">
        <f t="shared" si="108"/>
        <v>172300</v>
      </c>
    </row>
    <row r="813" spans="1:5" x14ac:dyDescent="0.2">
      <c r="A813" s="262" t="s">
        <v>133</v>
      </c>
      <c r="B813" s="272">
        <v>1172608</v>
      </c>
      <c r="C813" s="273">
        <f>REMUNERATION!G231</f>
        <v>2050329.0960000006</v>
      </c>
      <c r="D813" s="277">
        <f t="shared" si="107"/>
        <v>2169200</v>
      </c>
      <c r="E813" s="277">
        <f t="shared" si="108"/>
        <v>2295000</v>
      </c>
    </row>
    <row r="814" spans="1:5" x14ac:dyDescent="0.2">
      <c r="A814" s="262" t="s">
        <v>275</v>
      </c>
      <c r="B814" s="272">
        <v>0</v>
      </c>
      <c r="C814" s="273">
        <v>0</v>
      </c>
      <c r="D814" s="277">
        <f t="shared" si="107"/>
        <v>0</v>
      </c>
      <c r="E814" s="277">
        <f t="shared" si="108"/>
        <v>0</v>
      </c>
    </row>
    <row r="815" spans="1:5" x14ac:dyDescent="0.2">
      <c r="A815" s="262" t="s">
        <v>4</v>
      </c>
      <c r="B815" s="272">
        <v>10900</v>
      </c>
      <c r="C815" s="273">
        <f>REMUNERATION!E230</f>
        <v>10900</v>
      </c>
      <c r="D815" s="277">
        <f t="shared" si="107"/>
        <v>11500</v>
      </c>
      <c r="E815" s="277">
        <f t="shared" ref="E815" si="109">ROUND(+D815*(1+E$1),-2)</f>
        <v>12200</v>
      </c>
    </row>
    <row r="816" spans="1:5" x14ac:dyDescent="0.2">
      <c r="A816" s="262" t="s">
        <v>165</v>
      </c>
      <c r="B816" s="272">
        <v>1815360</v>
      </c>
      <c r="C816" s="273">
        <f>REMUNERATION!K231</f>
        <v>2783040</v>
      </c>
      <c r="D816" s="277">
        <f t="shared" si="107"/>
        <v>2944500</v>
      </c>
      <c r="E816" s="277">
        <f t="shared" si="108"/>
        <v>3115300</v>
      </c>
    </row>
    <row r="817" spans="1:5" x14ac:dyDescent="0.2">
      <c r="A817" s="262" t="s">
        <v>166</v>
      </c>
      <c r="B817" s="272">
        <v>32400</v>
      </c>
      <c r="C817" s="273">
        <f>REMUNERATION!J231</f>
        <v>46224</v>
      </c>
      <c r="D817" s="277">
        <f t="shared" si="107"/>
        <v>48900</v>
      </c>
      <c r="E817" s="277">
        <f t="shared" si="108"/>
        <v>51700</v>
      </c>
    </row>
    <row r="818" spans="1:5" x14ac:dyDescent="0.2">
      <c r="A818" s="262" t="s">
        <v>167</v>
      </c>
      <c r="B818" s="272">
        <v>67881</v>
      </c>
      <c r="C818" s="273">
        <f>REMUNERATION!M231</f>
        <v>122896.25699999998</v>
      </c>
      <c r="D818" s="277">
        <v>115000</v>
      </c>
      <c r="E818" s="277">
        <v>121600</v>
      </c>
    </row>
    <row r="819" spans="1:5" x14ac:dyDescent="0.2">
      <c r="A819" s="262" t="s">
        <v>168</v>
      </c>
      <c r="B819" s="272">
        <v>1395</v>
      </c>
      <c r="C819" s="273">
        <f>REMUNERATION!L231</f>
        <v>2232</v>
      </c>
      <c r="D819" s="277">
        <f t="shared" si="107"/>
        <v>2400</v>
      </c>
      <c r="E819" s="277">
        <f t="shared" si="108"/>
        <v>2500</v>
      </c>
    </row>
    <row r="820" spans="1:5" x14ac:dyDescent="0.2">
      <c r="A820" s="262" t="s">
        <v>4</v>
      </c>
      <c r="B820" s="272">
        <v>0</v>
      </c>
      <c r="C820" s="273">
        <v>0</v>
      </c>
      <c r="D820" s="277">
        <f t="shared" si="107"/>
        <v>0</v>
      </c>
      <c r="E820" s="277">
        <f t="shared" ref="E820" si="110">ROUND(+D820*(1+E$1),-2)</f>
        <v>0</v>
      </c>
    </row>
    <row r="821" spans="1:5" x14ac:dyDescent="0.2">
      <c r="C821" s="273"/>
      <c r="D821" s="277"/>
      <c r="E821" s="277"/>
    </row>
    <row r="822" spans="1:5" ht="12" thickBot="1" x14ac:dyDescent="0.25">
      <c r="A822" s="262" t="s">
        <v>209</v>
      </c>
      <c r="B822" s="274">
        <f>SUM(B807:B821)</f>
        <v>10732354</v>
      </c>
      <c r="C822" s="275">
        <f>SUM(C807:C821)</f>
        <v>17602227.908200003</v>
      </c>
      <c r="D822" s="289">
        <f>SUM(D807:D821)</f>
        <v>18608100</v>
      </c>
      <c r="E822" s="289">
        <f>SUM(E807:E821)</f>
        <v>19687200</v>
      </c>
    </row>
    <row r="823" spans="1:5" ht="12" thickTop="1" x14ac:dyDescent="0.2">
      <c r="C823" s="273"/>
      <c r="D823" s="277"/>
      <c r="E823" s="277"/>
    </row>
    <row r="824" spans="1:5" x14ac:dyDescent="0.2">
      <c r="A824" s="270" t="s">
        <v>203</v>
      </c>
      <c r="C824" s="273"/>
      <c r="D824" s="277"/>
      <c r="E824" s="277"/>
    </row>
    <row r="825" spans="1:5" x14ac:dyDescent="0.2">
      <c r="A825" s="262"/>
      <c r="C825" s="273"/>
      <c r="D825" s="277"/>
      <c r="E825" s="277"/>
    </row>
    <row r="826" spans="1:5" x14ac:dyDescent="0.2">
      <c r="A826" s="262"/>
      <c r="C826" s="273"/>
      <c r="D826" s="277"/>
      <c r="E826" s="277"/>
    </row>
    <row r="827" spans="1:5" x14ac:dyDescent="0.2">
      <c r="A827" s="262" t="s">
        <v>272</v>
      </c>
      <c r="B827" s="272">
        <v>250000</v>
      </c>
      <c r="C827" s="273">
        <v>250000</v>
      </c>
      <c r="D827" s="277">
        <f t="shared" ref="D827:D839" si="111">ROUND(+C827*(1+D$1),-2)</f>
        <v>264500</v>
      </c>
      <c r="E827" s="277">
        <f t="shared" ref="E827:E830" si="112">ROUND(+D827*(1+E$1),-2)</f>
        <v>279800</v>
      </c>
    </row>
    <row r="828" spans="1:5" x14ac:dyDescent="0.2">
      <c r="A828" s="262" t="s">
        <v>99</v>
      </c>
      <c r="B828" s="272">
        <v>80000</v>
      </c>
      <c r="C828" s="273">
        <v>80000</v>
      </c>
      <c r="D828" s="277">
        <f t="shared" si="111"/>
        <v>84600</v>
      </c>
      <c r="E828" s="277">
        <f t="shared" si="112"/>
        <v>89500</v>
      </c>
    </row>
    <row r="829" spans="1:5" x14ac:dyDescent="0.2">
      <c r="A829" s="262" t="s">
        <v>222</v>
      </c>
      <c r="B829" s="272">
        <v>0</v>
      </c>
      <c r="C829" s="273">
        <v>0</v>
      </c>
      <c r="D829" s="277">
        <f t="shared" si="111"/>
        <v>0</v>
      </c>
      <c r="E829" s="277">
        <f t="shared" si="112"/>
        <v>0</v>
      </c>
    </row>
    <row r="830" spans="1:5" x14ac:dyDescent="0.2">
      <c r="A830" s="262" t="s">
        <v>300</v>
      </c>
      <c r="B830" s="272">
        <v>400000</v>
      </c>
      <c r="C830" s="273">
        <v>100000</v>
      </c>
      <c r="D830" s="277">
        <f t="shared" si="111"/>
        <v>105800</v>
      </c>
      <c r="E830" s="277">
        <f t="shared" si="112"/>
        <v>111900</v>
      </c>
    </row>
    <row r="831" spans="1:5" x14ac:dyDescent="0.2">
      <c r="A831" s="262" t="s">
        <v>141</v>
      </c>
      <c r="B831" s="272">
        <v>0</v>
      </c>
      <c r="C831" s="273">
        <v>0</v>
      </c>
      <c r="D831" s="277">
        <f t="shared" si="111"/>
        <v>0</v>
      </c>
      <c r="E831" s="277">
        <f t="shared" ref="E831:E839" si="113">ROUND(+D831*(1+E$1),-2)</f>
        <v>0</v>
      </c>
    </row>
    <row r="832" spans="1:5" x14ac:dyDescent="0.2">
      <c r="A832" s="262" t="s">
        <v>158</v>
      </c>
      <c r="B832" s="272">
        <v>0</v>
      </c>
      <c r="C832" s="273">
        <v>0</v>
      </c>
      <c r="D832" s="277">
        <f t="shared" si="111"/>
        <v>0</v>
      </c>
      <c r="E832" s="277">
        <f t="shared" si="113"/>
        <v>0</v>
      </c>
    </row>
    <row r="833" spans="1:5" x14ac:dyDescent="0.2">
      <c r="A833" s="262" t="s">
        <v>217</v>
      </c>
      <c r="B833" s="272">
        <v>100000</v>
      </c>
      <c r="C833" s="273">
        <v>1100000</v>
      </c>
      <c r="D833" s="277">
        <f t="shared" si="111"/>
        <v>1163800</v>
      </c>
      <c r="E833" s="277">
        <f t="shared" si="113"/>
        <v>1231300</v>
      </c>
    </row>
    <row r="834" spans="1:5" x14ac:dyDescent="0.2">
      <c r="A834" s="262" t="s">
        <v>159</v>
      </c>
      <c r="B834" s="272">
        <v>140638</v>
      </c>
      <c r="C834" s="273">
        <v>140638</v>
      </c>
      <c r="D834" s="277">
        <f t="shared" si="111"/>
        <v>148800</v>
      </c>
      <c r="E834" s="277">
        <f t="shared" si="113"/>
        <v>157400</v>
      </c>
    </row>
    <row r="835" spans="1:5" x14ac:dyDescent="0.2">
      <c r="A835" s="262" t="s">
        <v>265</v>
      </c>
      <c r="B835" s="272">
        <v>0</v>
      </c>
      <c r="C835" s="273">
        <v>0</v>
      </c>
      <c r="D835" s="277">
        <f t="shared" si="111"/>
        <v>0</v>
      </c>
      <c r="E835" s="277">
        <f t="shared" si="113"/>
        <v>0</v>
      </c>
    </row>
    <row r="836" spans="1:5" x14ac:dyDescent="0.2">
      <c r="A836" s="262" t="s">
        <v>155</v>
      </c>
      <c r="B836" s="272">
        <v>711851</v>
      </c>
      <c r="C836" s="273">
        <v>800000</v>
      </c>
      <c r="D836" s="277">
        <f t="shared" si="111"/>
        <v>846400</v>
      </c>
      <c r="E836" s="277">
        <v>896200</v>
      </c>
    </row>
    <row r="837" spans="1:5" x14ac:dyDescent="0.2">
      <c r="A837" s="262" t="s">
        <v>271</v>
      </c>
      <c r="B837" s="272"/>
      <c r="C837" s="273">
        <v>0</v>
      </c>
      <c r="D837" s="277">
        <f t="shared" si="111"/>
        <v>0</v>
      </c>
      <c r="E837" s="277">
        <v>0</v>
      </c>
    </row>
    <row r="838" spans="1:5" x14ac:dyDescent="0.2">
      <c r="A838" s="262" t="s">
        <v>424</v>
      </c>
      <c r="B838" s="272">
        <v>200000</v>
      </c>
      <c r="C838" s="273">
        <v>200000</v>
      </c>
      <c r="D838" s="277">
        <v>213200</v>
      </c>
      <c r="E838" s="277">
        <v>224000</v>
      </c>
    </row>
    <row r="839" spans="1:5" x14ac:dyDescent="0.2">
      <c r="A839" s="310" t="s">
        <v>307</v>
      </c>
      <c r="B839" s="272">
        <v>0</v>
      </c>
      <c r="C839" s="273">
        <v>0</v>
      </c>
      <c r="D839" s="277">
        <f t="shared" si="111"/>
        <v>0</v>
      </c>
      <c r="E839" s="277">
        <f t="shared" si="113"/>
        <v>0</v>
      </c>
    </row>
    <row r="840" spans="1:5" ht="12" thickBot="1" x14ac:dyDescent="0.25">
      <c r="A840" s="262" t="s">
        <v>210</v>
      </c>
      <c r="B840" s="274">
        <f>SUM(B827:B839)</f>
        <v>1882489</v>
      </c>
      <c r="C840" s="275">
        <f>SUM(C827:C839)</f>
        <v>2670638</v>
      </c>
      <c r="D840" s="274">
        <f>SUM(D827:D839)</f>
        <v>2827100</v>
      </c>
      <c r="E840" s="274">
        <f>SUM(E827:E839)</f>
        <v>2990100</v>
      </c>
    </row>
    <row r="841" spans="1:5" ht="12" thickTop="1" x14ac:dyDescent="0.2">
      <c r="C841" s="273"/>
      <c r="D841" s="277"/>
      <c r="E841" s="277"/>
    </row>
    <row r="842" spans="1:5" x14ac:dyDescent="0.2">
      <c r="A842" s="270" t="s">
        <v>211</v>
      </c>
      <c r="C842" s="273"/>
      <c r="D842" s="277"/>
      <c r="E842" s="277"/>
    </row>
    <row r="843" spans="1:5" x14ac:dyDescent="0.2">
      <c r="A843" s="262"/>
      <c r="C843" s="273"/>
      <c r="D843" s="277"/>
      <c r="E843" s="277"/>
    </row>
    <row r="844" spans="1:5" x14ac:dyDescent="0.2">
      <c r="A844" s="262" t="s">
        <v>244</v>
      </c>
      <c r="B844" s="272">
        <v>0</v>
      </c>
      <c r="C844" s="273">
        <f t="shared" ref="C844:C846" si="114">B844+B844*0.06</f>
        <v>0</v>
      </c>
      <c r="D844" s="277">
        <f t="shared" ref="D844:D846" si="115">ROUND(+C844*(1+D$1),-2)</f>
        <v>0</v>
      </c>
      <c r="E844" s="277">
        <f t="shared" ref="E844:E846" si="116">ROUND(+D844*(1+E$1),-2)</f>
        <v>0</v>
      </c>
    </row>
    <row r="845" spans="1:5" x14ac:dyDescent="0.2">
      <c r="A845" s="262" t="s">
        <v>245</v>
      </c>
      <c r="B845" s="271">
        <v>0</v>
      </c>
      <c r="C845" s="273">
        <v>0</v>
      </c>
      <c r="D845" s="277">
        <f t="shared" si="115"/>
        <v>0</v>
      </c>
      <c r="E845" s="277">
        <f t="shared" si="116"/>
        <v>0</v>
      </c>
    </row>
    <row r="846" spans="1:5" x14ac:dyDescent="0.2">
      <c r="A846" s="262" t="s">
        <v>247</v>
      </c>
      <c r="C846" s="273">
        <f t="shared" si="114"/>
        <v>0</v>
      </c>
      <c r="D846" s="277">
        <f t="shared" si="115"/>
        <v>0</v>
      </c>
      <c r="E846" s="277">
        <f t="shared" si="116"/>
        <v>0</v>
      </c>
    </row>
    <row r="847" spans="1:5" x14ac:dyDescent="0.2">
      <c r="C847" s="273"/>
      <c r="D847" s="277"/>
      <c r="E847" s="277"/>
    </row>
    <row r="848" spans="1:5" ht="12" thickBot="1" x14ac:dyDescent="0.25">
      <c r="A848" s="262" t="s">
        <v>212</v>
      </c>
      <c r="B848" s="274">
        <f>SUM(B844:B847)</f>
        <v>0</v>
      </c>
      <c r="C848" s="275">
        <f>SUM(C844:C847)</f>
        <v>0</v>
      </c>
      <c r="D848" s="289">
        <f>SUM(D844:D847)</f>
        <v>0</v>
      </c>
      <c r="E848" s="289">
        <f>SUM(E844:E847)</f>
        <v>0</v>
      </c>
    </row>
    <row r="849" spans="1:5" ht="12" thickTop="1" x14ac:dyDescent="0.2">
      <c r="C849" s="273"/>
      <c r="D849" s="277"/>
      <c r="E849" s="277"/>
    </row>
    <row r="850" spans="1:5" x14ac:dyDescent="0.2">
      <c r="A850" s="270" t="s">
        <v>213</v>
      </c>
      <c r="C850" s="273"/>
      <c r="D850" s="277"/>
      <c r="E850" s="277"/>
    </row>
    <row r="851" spans="1:5" x14ac:dyDescent="0.2">
      <c r="A851" s="262"/>
      <c r="C851" s="273"/>
      <c r="D851" s="277"/>
      <c r="E851" s="277"/>
    </row>
    <row r="852" spans="1:5" x14ac:dyDescent="0.2">
      <c r="C852" s="273"/>
      <c r="D852" s="277"/>
      <c r="E852" s="277"/>
    </row>
    <row r="853" spans="1:5" ht="12" thickBot="1" x14ac:dyDescent="0.25">
      <c r="A853" s="262" t="s">
        <v>214</v>
      </c>
      <c r="B853" s="274">
        <f>B869</f>
        <v>0</v>
      </c>
      <c r="C853" s="275">
        <f>C869</f>
        <v>0</v>
      </c>
      <c r="D853" s="289">
        <f>D869</f>
        <v>0</v>
      </c>
      <c r="E853" s="289">
        <f>E869</f>
        <v>0</v>
      </c>
    </row>
    <row r="854" spans="1:5" ht="12" thickTop="1" x14ac:dyDescent="0.2">
      <c r="C854" s="273"/>
      <c r="D854" s="277"/>
      <c r="E854" s="277"/>
    </row>
    <row r="855" spans="1:5" x14ac:dyDescent="0.2">
      <c r="C855" s="273"/>
      <c r="D855" s="277"/>
      <c r="E855" s="277"/>
    </row>
    <row r="856" spans="1:5" ht="12" thickBot="1" x14ac:dyDescent="0.25">
      <c r="A856" s="262" t="s">
        <v>121</v>
      </c>
      <c r="B856" s="274">
        <f>B853+B848+B840+B822</f>
        <v>12614843</v>
      </c>
      <c r="C856" s="275">
        <f>C853+C848+C840+C822</f>
        <v>20272865.908200003</v>
      </c>
      <c r="D856" s="289">
        <f>D853+D848+D840+D822</f>
        <v>21435200</v>
      </c>
      <c r="E856" s="289">
        <f>E853+E848+E840+E822</f>
        <v>22677300</v>
      </c>
    </row>
    <row r="857" spans="1:5" ht="12" thickTop="1" x14ac:dyDescent="0.2">
      <c r="C857" s="273"/>
      <c r="D857" s="277"/>
      <c r="E857" s="277"/>
    </row>
    <row r="858" spans="1:5" x14ac:dyDescent="0.2">
      <c r="A858" s="270" t="s">
        <v>119</v>
      </c>
      <c r="C858" s="273"/>
      <c r="D858" s="277"/>
      <c r="E858" s="277"/>
    </row>
    <row r="859" spans="1:5" x14ac:dyDescent="0.2">
      <c r="A859" s="262"/>
      <c r="C859" s="273"/>
      <c r="D859" s="277"/>
      <c r="E859" s="277"/>
    </row>
    <row r="860" spans="1:5" x14ac:dyDescent="0.2">
      <c r="A860" s="262" t="s">
        <v>119</v>
      </c>
      <c r="C860" s="273">
        <f>B860</f>
        <v>0</v>
      </c>
      <c r="D860" s="277">
        <f>ROUND(+C860*(1+D$1),-2)</f>
        <v>0</v>
      </c>
      <c r="E860" s="277">
        <f>ROUND(+D860*(1+E$1),-2)</f>
        <v>0</v>
      </c>
    </row>
    <row r="861" spans="1:5" x14ac:dyDescent="0.2">
      <c r="C861" s="273"/>
      <c r="D861" s="277"/>
      <c r="E861" s="277"/>
    </row>
    <row r="862" spans="1:5" ht="12" thickBot="1" x14ac:dyDescent="0.25">
      <c r="A862" s="262" t="s">
        <v>120</v>
      </c>
      <c r="B862" s="276">
        <f>SUM(B860:B861)</f>
        <v>0</v>
      </c>
      <c r="C862" s="275">
        <f>SUM(C860:C861)</f>
        <v>0</v>
      </c>
      <c r="D862" s="289">
        <f>SUM(D860:D861)</f>
        <v>0</v>
      </c>
      <c r="E862" s="289">
        <f>SUM(E860:E861)</f>
        <v>0</v>
      </c>
    </row>
    <row r="863" spans="1:5" ht="12" thickTop="1" x14ac:dyDescent="0.2">
      <c r="C863" s="273"/>
      <c r="D863" s="277"/>
      <c r="E863" s="277"/>
    </row>
    <row r="864" spans="1:5" x14ac:dyDescent="0.2">
      <c r="A864" s="270" t="s">
        <v>213</v>
      </c>
      <c r="C864" s="273"/>
      <c r="D864" s="277"/>
      <c r="E864" s="277"/>
    </row>
    <row r="865" spans="1:5" x14ac:dyDescent="0.2">
      <c r="A865" s="262"/>
      <c r="C865" s="273"/>
      <c r="D865" s="277"/>
      <c r="E865" s="277"/>
    </row>
    <row r="866" spans="1:5" x14ac:dyDescent="0.2">
      <c r="A866" s="262" t="s">
        <v>250</v>
      </c>
      <c r="B866" s="272">
        <v>0</v>
      </c>
      <c r="C866" s="273">
        <v>0</v>
      </c>
      <c r="D866" s="277">
        <f t="shared" ref="D866:D867" si="117">ROUND(+C866*(1+D$1),-2)</f>
        <v>0</v>
      </c>
      <c r="E866" s="277">
        <f t="shared" ref="E866:E867" si="118">ROUND(+D866*(1+E$1),-2)</f>
        <v>0</v>
      </c>
    </row>
    <row r="867" spans="1:5" x14ac:dyDescent="0.2">
      <c r="A867" s="262" t="s">
        <v>251</v>
      </c>
      <c r="C867" s="273">
        <f t="shared" ref="C867" si="119">B867+B867*0.06</f>
        <v>0</v>
      </c>
      <c r="D867" s="277">
        <f t="shared" si="117"/>
        <v>0</v>
      </c>
      <c r="E867" s="277">
        <f t="shared" si="118"/>
        <v>0</v>
      </c>
    </row>
    <row r="868" spans="1:5" x14ac:dyDescent="0.2">
      <c r="C868" s="273"/>
      <c r="D868" s="277"/>
      <c r="E868" s="277"/>
    </row>
    <row r="869" spans="1:5" ht="12" thickBot="1" x14ac:dyDescent="0.25">
      <c r="A869" s="262" t="s">
        <v>129</v>
      </c>
      <c r="B869" s="276">
        <f>SUM(B866:B868)</f>
        <v>0</v>
      </c>
      <c r="C869" s="275">
        <f>SUM(C866:C868)</f>
        <v>0</v>
      </c>
      <c r="D869" s="289">
        <f>SUM(D866:D868)</f>
        <v>0</v>
      </c>
      <c r="E869" s="289">
        <f>SUM(E866:E868)</f>
        <v>0</v>
      </c>
    </row>
    <row r="870" spans="1:5" ht="12" thickTop="1" x14ac:dyDescent="0.2">
      <c r="B870" s="263" t="s">
        <v>522</v>
      </c>
      <c r="C870" s="333" t="s">
        <v>522</v>
      </c>
      <c r="D870" s="277"/>
      <c r="E870" s="277"/>
    </row>
    <row r="871" spans="1:5" x14ac:dyDescent="0.2">
      <c r="A871" s="262"/>
      <c r="B871" s="263" t="str">
        <f t="shared" ref="B871:D872" si="120">B8</f>
        <v xml:space="preserve"> Budget</v>
      </c>
      <c r="C871" s="299" t="str">
        <f t="shared" si="120"/>
        <v>Budget</v>
      </c>
      <c r="D871" s="300" t="str">
        <f t="shared" si="120"/>
        <v>Budget</v>
      </c>
      <c r="E871" s="300" t="s">
        <v>207</v>
      </c>
    </row>
    <row r="872" spans="1:5" x14ac:dyDescent="0.2">
      <c r="B872" s="263" t="str">
        <f t="shared" si="120"/>
        <v>2016/2017</v>
      </c>
      <c r="C872" s="299" t="str">
        <f t="shared" si="120"/>
        <v>2017/2018</v>
      </c>
      <c r="D872" s="300" t="str">
        <f t="shared" si="120"/>
        <v>2018/2019</v>
      </c>
      <c r="E872" s="302" t="str">
        <f>E9</f>
        <v>2019/2020</v>
      </c>
    </row>
    <row r="873" spans="1:5" x14ac:dyDescent="0.2">
      <c r="A873" s="262"/>
      <c r="C873" s="273"/>
      <c r="D873" s="277"/>
      <c r="E873" s="277"/>
    </row>
    <row r="874" spans="1:5" ht="15.75" x14ac:dyDescent="0.25">
      <c r="A874" s="269" t="s">
        <v>18</v>
      </c>
      <c r="C874" s="273"/>
      <c r="D874" s="277"/>
      <c r="E874" s="277"/>
    </row>
    <row r="875" spans="1:5" x14ac:dyDescent="0.2">
      <c r="A875" s="262"/>
      <c r="C875" s="273"/>
      <c r="D875" s="277"/>
      <c r="E875" s="277"/>
    </row>
    <row r="876" spans="1:5" x14ac:dyDescent="0.2">
      <c r="A876" s="270" t="s">
        <v>208</v>
      </c>
      <c r="C876" s="273"/>
      <c r="D876" s="277"/>
      <c r="E876" s="277"/>
    </row>
    <row r="877" spans="1:5" x14ac:dyDescent="0.2">
      <c r="A877" s="262"/>
      <c r="C877" s="273"/>
      <c r="D877" s="277"/>
      <c r="E877" s="277"/>
    </row>
    <row r="878" spans="1:5" x14ac:dyDescent="0.2">
      <c r="A878" s="262" t="s">
        <v>161</v>
      </c>
      <c r="B878" s="272">
        <v>4090080</v>
      </c>
      <c r="C878" s="273">
        <f>REMUNERATION!F248</f>
        <v>4113525.12</v>
      </c>
      <c r="D878" s="277">
        <f t="shared" ref="D878:D890" si="121">ROUND(+C878*(1+D$1),-2)</f>
        <v>4352100</v>
      </c>
      <c r="E878" s="277">
        <f t="shared" ref="E878:E890" si="122">ROUND(+D878*(1+E$1),-2)</f>
        <v>4604500</v>
      </c>
    </row>
    <row r="879" spans="1:5" x14ac:dyDescent="0.2">
      <c r="A879" s="262" t="s">
        <v>195</v>
      </c>
      <c r="B879" s="272">
        <v>392757</v>
      </c>
      <c r="C879" s="273">
        <f>REMUNERATION!N248</f>
        <v>395319.93160000007</v>
      </c>
      <c r="D879" s="277">
        <f t="shared" si="121"/>
        <v>418200</v>
      </c>
      <c r="E879" s="277">
        <f t="shared" si="122"/>
        <v>442500</v>
      </c>
    </row>
    <row r="880" spans="1:5" x14ac:dyDescent="0.2">
      <c r="A880" s="262" t="s">
        <v>157</v>
      </c>
      <c r="B880" s="272">
        <v>100000</v>
      </c>
      <c r="C880" s="273">
        <f>REMUNERATION!O248</f>
        <v>30000</v>
      </c>
      <c r="D880" s="277">
        <f t="shared" si="121"/>
        <v>31700</v>
      </c>
      <c r="E880" s="277">
        <f t="shared" si="122"/>
        <v>33500</v>
      </c>
    </row>
    <row r="881" spans="1:5" x14ac:dyDescent="0.2">
      <c r="A881" s="262" t="s">
        <v>162</v>
      </c>
      <c r="B881" s="272">
        <v>67200</v>
      </c>
      <c r="C881" s="273">
        <f>REMUNERATION!I248</f>
        <v>67200</v>
      </c>
      <c r="D881" s="277">
        <f t="shared" si="121"/>
        <v>71100</v>
      </c>
      <c r="E881" s="277">
        <f t="shared" si="122"/>
        <v>75200</v>
      </c>
    </row>
    <row r="882" spans="1:5" x14ac:dyDescent="0.2">
      <c r="A882" s="262" t="s">
        <v>163</v>
      </c>
      <c r="B882" s="272">
        <v>390529</v>
      </c>
      <c r="C882" s="273">
        <f>REMUNERATION!H248</f>
        <v>447332.76000000007</v>
      </c>
      <c r="D882" s="277">
        <f t="shared" si="121"/>
        <v>473300</v>
      </c>
      <c r="E882" s="277">
        <f t="shared" si="122"/>
        <v>500800</v>
      </c>
    </row>
    <row r="883" spans="1:5" x14ac:dyDescent="0.2">
      <c r="A883" s="262" t="s">
        <v>164</v>
      </c>
      <c r="B883" s="272">
        <v>33200</v>
      </c>
      <c r="C883" s="273">
        <f>REMUNERATION!P248</f>
        <v>63200</v>
      </c>
      <c r="D883" s="277">
        <f t="shared" si="121"/>
        <v>66900</v>
      </c>
      <c r="E883" s="277">
        <f t="shared" ref="E883" si="123">ROUND(+D883*(1+E$1),-2)</f>
        <v>70800</v>
      </c>
    </row>
    <row r="884" spans="1:5" x14ac:dyDescent="0.2">
      <c r="A884" s="262" t="s">
        <v>133</v>
      </c>
      <c r="B884" s="272">
        <v>809717</v>
      </c>
      <c r="C884" s="273">
        <f>REMUNERATION!G248</f>
        <v>812511.10460000008</v>
      </c>
      <c r="D884" s="277">
        <f t="shared" si="121"/>
        <v>859600</v>
      </c>
      <c r="E884" s="277">
        <f t="shared" si="122"/>
        <v>909500</v>
      </c>
    </row>
    <row r="885" spans="1:5" x14ac:dyDescent="0.2">
      <c r="A885" s="262" t="s">
        <v>165</v>
      </c>
      <c r="B885" s="272">
        <v>1250880</v>
      </c>
      <c r="C885" s="273">
        <f>REMUNERATION!K248</f>
        <v>1229040</v>
      </c>
      <c r="D885" s="277">
        <f t="shared" si="121"/>
        <v>1300300</v>
      </c>
      <c r="E885" s="277">
        <f t="shared" si="122"/>
        <v>1375700</v>
      </c>
    </row>
    <row r="886" spans="1:5" x14ac:dyDescent="0.2">
      <c r="A886" s="262" t="s">
        <v>275</v>
      </c>
      <c r="B886" s="272">
        <v>0</v>
      </c>
      <c r="C886" s="273">
        <v>0</v>
      </c>
      <c r="D886" s="277">
        <f t="shared" si="121"/>
        <v>0</v>
      </c>
      <c r="E886" s="277">
        <f t="shared" ref="E886" si="124">ROUND(+D886*(1+E$1),-2)</f>
        <v>0</v>
      </c>
    </row>
    <row r="887" spans="1:5" x14ac:dyDescent="0.2">
      <c r="A887" s="262" t="s">
        <v>4</v>
      </c>
      <c r="B887" s="272">
        <v>0</v>
      </c>
      <c r="C887" s="273">
        <v>0</v>
      </c>
      <c r="D887" s="277">
        <f t="shared" si="121"/>
        <v>0</v>
      </c>
      <c r="E887" s="277">
        <f t="shared" ref="E887" si="125">ROUND(+D887*(1+E$1),-2)</f>
        <v>0</v>
      </c>
    </row>
    <row r="888" spans="1:5" x14ac:dyDescent="0.2">
      <c r="A888" s="262" t="s">
        <v>166</v>
      </c>
      <c r="B888" s="272">
        <v>75800</v>
      </c>
      <c r="C888" s="273">
        <f>REMUNERATION!J248</f>
        <v>17334</v>
      </c>
      <c r="D888" s="277">
        <f t="shared" si="121"/>
        <v>18300</v>
      </c>
      <c r="E888" s="277">
        <f t="shared" si="122"/>
        <v>19400</v>
      </c>
    </row>
    <row r="889" spans="1:5" x14ac:dyDescent="0.2">
      <c r="A889" s="262" t="s">
        <v>167</v>
      </c>
      <c r="B889" s="272">
        <v>41786</v>
      </c>
      <c r="C889" s="273">
        <f>REMUNERATION!M248</f>
        <v>44123.820700000004</v>
      </c>
      <c r="D889" s="277">
        <v>48900</v>
      </c>
      <c r="E889" s="277">
        <v>51400</v>
      </c>
    </row>
    <row r="890" spans="1:5" x14ac:dyDescent="0.2">
      <c r="A890" s="262" t="s">
        <v>168</v>
      </c>
      <c r="B890" s="272">
        <v>837</v>
      </c>
      <c r="C890" s="273">
        <f>REMUNERATION!L248</f>
        <v>837</v>
      </c>
      <c r="D890" s="277">
        <f t="shared" si="121"/>
        <v>900</v>
      </c>
      <c r="E890" s="277">
        <f t="shared" si="122"/>
        <v>1000</v>
      </c>
    </row>
    <row r="891" spans="1:5" x14ac:dyDescent="0.2">
      <c r="A891" s="248" t="s">
        <v>278</v>
      </c>
      <c r="C891" s="273"/>
      <c r="D891" s="277"/>
      <c r="E891" s="277"/>
    </row>
    <row r="892" spans="1:5" ht="12" thickBot="1" x14ac:dyDescent="0.25">
      <c r="A892" s="262" t="s">
        <v>209</v>
      </c>
      <c r="B892" s="274">
        <f>SUM(B878:B891)</f>
        <v>7252786</v>
      </c>
      <c r="C892" s="275">
        <f>SUM(C878:C891)</f>
        <v>7220423.7368999999</v>
      </c>
      <c r="D892" s="289">
        <f>SUM(D878:D891)</f>
        <v>7641300</v>
      </c>
      <c r="E892" s="289">
        <f>SUM(E878:E891)</f>
        <v>8084300</v>
      </c>
    </row>
    <row r="893" spans="1:5" ht="12" thickTop="1" x14ac:dyDescent="0.2">
      <c r="C893" s="273"/>
      <c r="D893" s="277"/>
      <c r="E893" s="277"/>
    </row>
    <row r="894" spans="1:5" x14ac:dyDescent="0.2">
      <c r="A894" s="270" t="s">
        <v>203</v>
      </c>
      <c r="C894" s="273"/>
      <c r="D894" s="277"/>
      <c r="E894" s="277"/>
    </row>
    <row r="895" spans="1:5" x14ac:dyDescent="0.2">
      <c r="A895" s="262"/>
      <c r="C895" s="273"/>
      <c r="D895" s="277"/>
      <c r="E895" s="277"/>
    </row>
    <row r="896" spans="1:5" x14ac:dyDescent="0.2">
      <c r="A896" s="262" t="s">
        <v>274</v>
      </c>
      <c r="B896" s="272">
        <v>200000</v>
      </c>
      <c r="C896" s="273">
        <v>150000</v>
      </c>
      <c r="D896" s="277">
        <f t="shared" ref="D896:D906" si="126">ROUND(+C896*(1+D$1),-2)</f>
        <v>158700</v>
      </c>
      <c r="E896" s="277">
        <f t="shared" ref="E896:E898" si="127">ROUND(+D896*(1+E$1),-2)</f>
        <v>167900</v>
      </c>
    </row>
    <row r="897" spans="1:5" x14ac:dyDescent="0.2">
      <c r="A897" s="262" t="s">
        <v>0</v>
      </c>
      <c r="B897" s="272">
        <v>1000000</v>
      </c>
      <c r="C897" s="273">
        <v>1408000</v>
      </c>
      <c r="D897" s="277">
        <f t="shared" si="126"/>
        <v>1489700</v>
      </c>
      <c r="E897" s="277">
        <f t="shared" si="127"/>
        <v>1576100</v>
      </c>
    </row>
    <row r="898" spans="1:5" x14ac:dyDescent="0.2">
      <c r="A898" s="262" t="s">
        <v>378</v>
      </c>
      <c r="B898" s="272">
        <v>1600000</v>
      </c>
      <c r="C898" s="273">
        <v>1720000</v>
      </c>
      <c r="D898" s="277">
        <f t="shared" si="126"/>
        <v>1819800</v>
      </c>
      <c r="E898" s="277">
        <f t="shared" si="127"/>
        <v>1925300</v>
      </c>
    </row>
    <row r="899" spans="1:5" x14ac:dyDescent="0.2">
      <c r="A899" s="262" t="s">
        <v>380</v>
      </c>
      <c r="B899" s="272">
        <v>1200000</v>
      </c>
      <c r="C899" s="273">
        <v>1200000</v>
      </c>
      <c r="D899" s="277">
        <f t="shared" si="126"/>
        <v>1269600</v>
      </c>
      <c r="E899" s="277">
        <f t="shared" ref="E899" si="128">ROUND(+D899*(1+E$1),-2)</f>
        <v>1343200</v>
      </c>
    </row>
    <row r="900" spans="1:5" x14ac:dyDescent="0.2">
      <c r="A900" s="262" t="s">
        <v>381</v>
      </c>
      <c r="B900" s="272">
        <v>82821</v>
      </c>
      <c r="C900" s="273">
        <v>82821</v>
      </c>
      <c r="D900" s="277">
        <f t="shared" si="126"/>
        <v>87600</v>
      </c>
      <c r="E900" s="277">
        <f t="shared" ref="E900" si="129">ROUND(+D900*(1+E$1),-2)</f>
        <v>92700</v>
      </c>
    </row>
    <row r="901" spans="1:5" x14ac:dyDescent="0.2">
      <c r="A901" s="262" t="s">
        <v>141</v>
      </c>
      <c r="B901" s="272">
        <v>0</v>
      </c>
      <c r="C901" s="273">
        <v>0</v>
      </c>
      <c r="D901" s="277">
        <f t="shared" si="126"/>
        <v>0</v>
      </c>
      <c r="E901" s="277">
        <f t="shared" ref="E901:E906" si="130">ROUND(+D901*(1+E$1),-2)</f>
        <v>0</v>
      </c>
    </row>
    <row r="902" spans="1:5" x14ac:dyDescent="0.2">
      <c r="A902" s="262" t="s">
        <v>528</v>
      </c>
      <c r="B902" s="272">
        <v>800000</v>
      </c>
      <c r="C902" s="273">
        <v>0</v>
      </c>
      <c r="D902" s="277">
        <v>0</v>
      </c>
      <c r="E902" s="277">
        <f t="shared" si="130"/>
        <v>0</v>
      </c>
    </row>
    <row r="903" spans="1:5" x14ac:dyDescent="0.2">
      <c r="A903" s="262" t="s">
        <v>159</v>
      </c>
      <c r="B903" s="272">
        <v>96869</v>
      </c>
      <c r="C903" s="273">
        <v>96869</v>
      </c>
      <c r="D903" s="277">
        <f t="shared" si="126"/>
        <v>102500</v>
      </c>
      <c r="E903" s="277">
        <f t="shared" si="130"/>
        <v>108400</v>
      </c>
    </row>
    <row r="904" spans="1:5" x14ac:dyDescent="0.2">
      <c r="A904" s="262" t="s">
        <v>472</v>
      </c>
      <c r="B904" s="272">
        <v>200000</v>
      </c>
      <c r="C904" s="273">
        <v>0</v>
      </c>
      <c r="D904" s="277">
        <f t="shared" si="126"/>
        <v>0</v>
      </c>
      <c r="E904" s="277">
        <f t="shared" si="130"/>
        <v>0</v>
      </c>
    </row>
    <row r="905" spans="1:5" x14ac:dyDescent="0.2">
      <c r="A905" s="262" t="s">
        <v>379</v>
      </c>
      <c r="B905" s="272">
        <v>4200000</v>
      </c>
      <c r="C905" s="273">
        <v>4200000</v>
      </c>
      <c r="D905" s="277">
        <f t="shared" si="126"/>
        <v>4443600</v>
      </c>
      <c r="E905" s="277">
        <f t="shared" si="130"/>
        <v>4701300</v>
      </c>
    </row>
    <row r="906" spans="1:5" x14ac:dyDescent="0.2">
      <c r="A906" s="262" t="s">
        <v>265</v>
      </c>
      <c r="B906" s="272">
        <v>0</v>
      </c>
      <c r="C906" s="273">
        <v>0</v>
      </c>
      <c r="D906" s="277">
        <f t="shared" si="126"/>
        <v>0</v>
      </c>
      <c r="E906" s="277">
        <f t="shared" si="130"/>
        <v>0</v>
      </c>
    </row>
    <row r="907" spans="1:5" x14ac:dyDescent="0.2">
      <c r="A907" s="262" t="s">
        <v>155</v>
      </c>
      <c r="B907" s="272">
        <v>227000</v>
      </c>
      <c r="C907" s="273">
        <v>127000</v>
      </c>
      <c r="D907" s="277">
        <v>240800</v>
      </c>
      <c r="E907" s="277">
        <v>254700</v>
      </c>
    </row>
    <row r="908" spans="1:5" ht="12" thickBot="1" x14ac:dyDescent="0.25">
      <c r="A908" s="262" t="s">
        <v>210</v>
      </c>
      <c r="B908" s="274">
        <f>SUM(B896:B907)</f>
        <v>9606690</v>
      </c>
      <c r="C908" s="275">
        <f>SUM(C896:C907)</f>
        <v>8984690</v>
      </c>
      <c r="D908" s="289">
        <f>SUM(D896:D907)</f>
        <v>9612300</v>
      </c>
      <c r="E908" s="289">
        <f>SUM(E896:E907)</f>
        <v>10169600</v>
      </c>
    </row>
    <row r="909" spans="1:5" ht="12" thickTop="1" x14ac:dyDescent="0.2">
      <c r="C909" s="273"/>
      <c r="D909" s="277"/>
      <c r="E909" s="277"/>
    </row>
    <row r="910" spans="1:5" x14ac:dyDescent="0.2">
      <c r="A910" s="270" t="s">
        <v>211</v>
      </c>
      <c r="C910" s="273"/>
      <c r="D910" s="277"/>
      <c r="E910" s="277"/>
    </row>
    <row r="911" spans="1:5" x14ac:dyDescent="0.2">
      <c r="A911" s="262"/>
      <c r="C911" s="273"/>
      <c r="D911" s="277"/>
      <c r="E911" s="277"/>
    </row>
    <row r="912" spans="1:5" x14ac:dyDescent="0.2">
      <c r="A912" s="262" t="s">
        <v>244</v>
      </c>
      <c r="B912" s="272">
        <v>0</v>
      </c>
      <c r="C912" s="273">
        <v>0</v>
      </c>
      <c r="D912" s="277">
        <f t="shared" ref="D912:D913" si="131">ROUND(+C912*(1+D$1),-2)</f>
        <v>0</v>
      </c>
      <c r="E912" s="277">
        <f t="shared" ref="E912:E913" si="132">ROUND(+D912*(1+E$1),-2)</f>
        <v>0</v>
      </c>
    </row>
    <row r="913" spans="1:5" x14ac:dyDescent="0.2">
      <c r="A913" s="262" t="s">
        <v>245</v>
      </c>
      <c r="B913" s="272">
        <v>0</v>
      </c>
      <c r="C913" s="273">
        <v>0</v>
      </c>
      <c r="D913" s="277">
        <f t="shared" si="131"/>
        <v>0</v>
      </c>
      <c r="E913" s="277">
        <f t="shared" si="132"/>
        <v>0</v>
      </c>
    </row>
    <row r="914" spans="1:5" x14ac:dyDescent="0.2">
      <c r="C914" s="273"/>
      <c r="D914" s="277"/>
      <c r="E914" s="277"/>
    </row>
    <row r="915" spans="1:5" ht="12" thickBot="1" x14ac:dyDescent="0.25">
      <c r="A915" s="262" t="s">
        <v>212</v>
      </c>
      <c r="B915" s="274">
        <f>SUM(B912:B914)</f>
        <v>0</v>
      </c>
      <c r="C915" s="275">
        <f>SUM(C912:C914)</f>
        <v>0</v>
      </c>
      <c r="D915" s="289">
        <f>SUM(D912:D914)</f>
        <v>0</v>
      </c>
      <c r="E915" s="289">
        <f>SUM(E912:E914)</f>
        <v>0</v>
      </c>
    </row>
    <row r="916" spans="1:5" ht="12" thickTop="1" x14ac:dyDescent="0.2">
      <c r="C916" s="273"/>
      <c r="D916" s="277"/>
      <c r="E916" s="277"/>
    </row>
    <row r="917" spans="1:5" x14ac:dyDescent="0.2">
      <c r="A917" s="270" t="s">
        <v>213</v>
      </c>
      <c r="C917" s="273"/>
      <c r="D917" s="277"/>
      <c r="E917" s="277"/>
    </row>
    <row r="918" spans="1:5" x14ac:dyDescent="0.2">
      <c r="A918" s="262"/>
      <c r="C918" s="273"/>
      <c r="D918" s="277"/>
      <c r="E918" s="277"/>
    </row>
    <row r="919" spans="1:5" x14ac:dyDescent="0.2">
      <c r="C919" s="273"/>
      <c r="D919" s="277"/>
      <c r="E919" s="277"/>
    </row>
    <row r="920" spans="1:5" ht="12" thickBot="1" x14ac:dyDescent="0.25">
      <c r="A920" s="262" t="s">
        <v>214</v>
      </c>
      <c r="B920" s="276">
        <f>B931</f>
        <v>0</v>
      </c>
      <c r="C920" s="275">
        <f>C931</f>
        <v>0</v>
      </c>
      <c r="D920" s="289">
        <f>D931</f>
        <v>0</v>
      </c>
      <c r="E920" s="289">
        <f>E931</f>
        <v>0</v>
      </c>
    </row>
    <row r="921" spans="1:5" ht="12" thickTop="1" x14ac:dyDescent="0.2">
      <c r="C921" s="273"/>
      <c r="D921" s="277"/>
      <c r="E921" s="277"/>
    </row>
    <row r="922" spans="1:5" x14ac:dyDescent="0.2">
      <c r="C922" s="273"/>
      <c r="D922" s="277"/>
      <c r="E922" s="277"/>
    </row>
    <row r="923" spans="1:5" ht="12" thickBot="1" x14ac:dyDescent="0.25">
      <c r="A923" s="262" t="s">
        <v>259</v>
      </c>
      <c r="B923" s="274">
        <f>B920+B915+B908+B892</f>
        <v>16859476</v>
      </c>
      <c r="C923" s="275">
        <f>C920+C915+C908+C892</f>
        <v>16205113.7369</v>
      </c>
      <c r="D923" s="289">
        <f>D920+D915+D908+D892</f>
        <v>17253600</v>
      </c>
      <c r="E923" s="289">
        <f>E920+E915+E908+E892</f>
        <v>18253900</v>
      </c>
    </row>
    <row r="924" spans="1:5" ht="12" thickTop="1" x14ac:dyDescent="0.2">
      <c r="C924" s="273"/>
      <c r="D924" s="277"/>
      <c r="E924" s="277"/>
    </row>
    <row r="925" spans="1:5" x14ac:dyDescent="0.2">
      <c r="A925" s="270" t="s">
        <v>213</v>
      </c>
      <c r="C925" s="273"/>
      <c r="D925" s="277"/>
      <c r="E925" s="277"/>
    </row>
    <row r="926" spans="1:5" x14ac:dyDescent="0.2">
      <c r="A926" s="262"/>
      <c r="C926" s="273"/>
      <c r="D926" s="277"/>
      <c r="E926" s="277"/>
    </row>
    <row r="927" spans="1:5" x14ac:dyDescent="0.2">
      <c r="A927" s="262" t="s">
        <v>250</v>
      </c>
      <c r="B927" s="271">
        <v>0</v>
      </c>
      <c r="C927" s="273">
        <v>0</v>
      </c>
      <c r="D927" s="277">
        <f t="shared" ref="D927:D929" si="133">ROUND(+C927*(1+D$1),-2)</f>
        <v>0</v>
      </c>
      <c r="E927" s="277">
        <f t="shared" ref="E927:E929" si="134">ROUND(+D927*(1+E$1),-2)</f>
        <v>0</v>
      </c>
    </row>
    <row r="928" spans="1:5" x14ac:dyDescent="0.2">
      <c r="A928" s="262" t="s">
        <v>251</v>
      </c>
      <c r="B928" s="271">
        <v>0</v>
      </c>
      <c r="C928" s="273">
        <v>0</v>
      </c>
      <c r="D928" s="277">
        <f t="shared" si="133"/>
        <v>0</v>
      </c>
      <c r="E928" s="277">
        <f t="shared" si="134"/>
        <v>0</v>
      </c>
    </row>
    <row r="929" spans="1:7" x14ac:dyDescent="0.2">
      <c r="A929" s="262" t="s">
        <v>252</v>
      </c>
      <c r="C929" s="273">
        <f t="shared" ref="C929" si="135">B929+B929*0.06</f>
        <v>0</v>
      </c>
      <c r="D929" s="277">
        <f t="shared" si="133"/>
        <v>0</v>
      </c>
      <c r="E929" s="277">
        <f t="shared" si="134"/>
        <v>0</v>
      </c>
    </row>
    <row r="930" spans="1:7" x14ac:dyDescent="0.2">
      <c r="C930" s="273"/>
      <c r="D930" s="277"/>
      <c r="E930" s="277"/>
    </row>
    <row r="931" spans="1:7" ht="12" thickBot="1" x14ac:dyDescent="0.25">
      <c r="A931" s="262" t="s">
        <v>129</v>
      </c>
      <c r="B931" s="276">
        <f>SUM(B927:B930)</f>
        <v>0</v>
      </c>
      <c r="C931" s="275">
        <f>SUM(C927:C930)</f>
        <v>0</v>
      </c>
      <c r="D931" s="289">
        <f>SUM(D927:D930)</f>
        <v>0</v>
      </c>
      <c r="E931" s="289">
        <f>SUM(E927:E930)</f>
        <v>0</v>
      </c>
      <c r="G931" s="298"/>
    </row>
    <row r="932" spans="1:7" ht="12" thickTop="1" x14ac:dyDescent="0.2">
      <c r="C932" s="273"/>
      <c r="D932" s="277"/>
      <c r="E932" s="277"/>
    </row>
    <row r="933" spans="1:7" x14ac:dyDescent="0.2">
      <c r="B933" s="263" t="s">
        <v>522</v>
      </c>
      <c r="C933" s="333" t="s">
        <v>522</v>
      </c>
      <c r="D933" s="277"/>
      <c r="E933" s="277"/>
    </row>
    <row r="934" spans="1:7" x14ac:dyDescent="0.2">
      <c r="A934" s="262"/>
      <c r="B934" s="263" t="s">
        <v>207</v>
      </c>
      <c r="C934" s="299" t="s">
        <v>207</v>
      </c>
      <c r="D934" s="263" t="s">
        <v>207</v>
      </c>
      <c r="E934" s="263" t="s">
        <v>207</v>
      </c>
    </row>
    <row r="935" spans="1:7" x14ac:dyDescent="0.2">
      <c r="B935" s="311" t="str">
        <f>B9</f>
        <v>2016/2017</v>
      </c>
      <c r="C935" s="312" t="str">
        <f>C9</f>
        <v>2017/2018</v>
      </c>
      <c r="D935" s="311" t="str">
        <f>D9</f>
        <v>2018/2019</v>
      </c>
      <c r="E935" s="311" t="str">
        <f>E9</f>
        <v>2019/2020</v>
      </c>
    </row>
    <row r="936" spans="1:7" ht="15.75" x14ac:dyDescent="0.25">
      <c r="A936" s="269" t="s">
        <v>228</v>
      </c>
      <c r="C936" s="273"/>
      <c r="D936" s="277"/>
      <c r="E936" s="277"/>
    </row>
    <row r="937" spans="1:7" x14ac:dyDescent="0.2">
      <c r="A937" s="262"/>
      <c r="C937" s="273"/>
      <c r="D937" s="277"/>
      <c r="E937" s="277"/>
    </row>
    <row r="938" spans="1:7" x14ac:dyDescent="0.2">
      <c r="A938" s="270" t="s">
        <v>208</v>
      </c>
      <c r="C938" s="273"/>
      <c r="D938" s="277"/>
      <c r="E938" s="277"/>
    </row>
    <row r="939" spans="1:7" x14ac:dyDescent="0.2">
      <c r="A939" s="262"/>
      <c r="C939" s="273"/>
      <c r="D939" s="277"/>
      <c r="E939" s="277"/>
    </row>
    <row r="940" spans="1:7" x14ac:dyDescent="0.2">
      <c r="A940" s="262" t="s">
        <v>161</v>
      </c>
      <c r="B940" s="272">
        <v>1217671</v>
      </c>
      <c r="C940" s="273">
        <f>REMUNERATION!F259</f>
        <v>1290715.3200000003</v>
      </c>
      <c r="D940" s="277">
        <f t="shared" ref="D940:D949" si="136">ROUND(+C940*(1+D$1),-2)</f>
        <v>1365600</v>
      </c>
      <c r="E940" s="277">
        <f t="shared" ref="E940:E942" si="137">ROUND(+D940*(1+E$1),-2)</f>
        <v>1444800</v>
      </c>
    </row>
    <row r="941" spans="1:7" x14ac:dyDescent="0.2">
      <c r="A941" s="262" t="s">
        <v>195</v>
      </c>
      <c r="B941" s="272">
        <v>101473</v>
      </c>
      <c r="C941" s="273">
        <f>REMUNERATION!N259</f>
        <v>107559.61000000002</v>
      </c>
      <c r="D941" s="277">
        <f t="shared" si="136"/>
        <v>113800</v>
      </c>
      <c r="E941" s="277">
        <f t="shared" si="137"/>
        <v>120400</v>
      </c>
    </row>
    <row r="942" spans="1:7" x14ac:dyDescent="0.2">
      <c r="A942" s="262" t="s">
        <v>157</v>
      </c>
      <c r="B942" s="272">
        <v>0</v>
      </c>
      <c r="C942" s="273">
        <v>0</v>
      </c>
      <c r="D942" s="277">
        <f t="shared" si="136"/>
        <v>0</v>
      </c>
      <c r="E942" s="277">
        <f t="shared" si="137"/>
        <v>0</v>
      </c>
    </row>
    <row r="943" spans="1:7" x14ac:dyDescent="0.2">
      <c r="A943" s="262" t="s">
        <v>162</v>
      </c>
      <c r="B943" s="272">
        <v>25200</v>
      </c>
      <c r="C943" s="273">
        <f>REMUNERATION!I259</f>
        <v>25200</v>
      </c>
      <c r="D943" s="277">
        <f t="shared" si="136"/>
        <v>26700</v>
      </c>
      <c r="E943" s="277">
        <f t="shared" ref="E943:E949" si="138">ROUND(+D943*(1+E$1),-2)</f>
        <v>28200</v>
      </c>
    </row>
    <row r="944" spans="1:7" x14ac:dyDescent="0.2">
      <c r="A944" s="262" t="s">
        <v>163</v>
      </c>
      <c r="B944" s="272">
        <v>129312</v>
      </c>
      <c r="C944" s="273">
        <f>REMUNERATION!H259</f>
        <v>149110.91999999998</v>
      </c>
      <c r="D944" s="277">
        <f t="shared" si="136"/>
        <v>157800</v>
      </c>
      <c r="E944" s="277">
        <f t="shared" si="138"/>
        <v>167000</v>
      </c>
    </row>
    <row r="945" spans="1:5" x14ac:dyDescent="0.2">
      <c r="A945" s="262" t="s">
        <v>133</v>
      </c>
      <c r="B945" s="272">
        <v>267888</v>
      </c>
      <c r="C945" s="273">
        <f>REMUNERATION!G259</f>
        <v>283957.37040000001</v>
      </c>
      <c r="D945" s="277">
        <f t="shared" si="136"/>
        <v>300400</v>
      </c>
      <c r="E945" s="277">
        <f t="shared" si="138"/>
        <v>317800</v>
      </c>
    </row>
    <row r="946" spans="1:5" x14ac:dyDescent="0.2">
      <c r="A946" s="262" t="s">
        <v>165</v>
      </c>
      <c r="B946" s="272">
        <v>357840</v>
      </c>
      <c r="C946" s="273">
        <f>REMUNERATION!K259</f>
        <v>357840</v>
      </c>
      <c r="D946" s="277">
        <f t="shared" si="136"/>
        <v>378600</v>
      </c>
      <c r="E946" s="277">
        <f t="shared" si="138"/>
        <v>400600</v>
      </c>
    </row>
    <row r="947" spans="1:5" x14ac:dyDescent="0.2">
      <c r="A947" s="262" t="s">
        <v>166</v>
      </c>
      <c r="B947" s="272">
        <v>5778</v>
      </c>
      <c r="C947" s="273">
        <f>REMUNERATION!J259</f>
        <v>5778</v>
      </c>
      <c r="D947" s="277">
        <f t="shared" si="136"/>
        <v>6100</v>
      </c>
      <c r="E947" s="277">
        <f t="shared" si="138"/>
        <v>6500</v>
      </c>
    </row>
    <row r="948" spans="1:5" x14ac:dyDescent="0.2">
      <c r="A948" s="262" t="s">
        <v>167</v>
      </c>
      <c r="B948" s="272">
        <v>13745</v>
      </c>
      <c r="C948" s="273">
        <f>REMUNERATION!M259</f>
        <v>14286.288400000003</v>
      </c>
      <c r="D948" s="277">
        <f t="shared" si="136"/>
        <v>15100</v>
      </c>
      <c r="E948" s="277">
        <f t="shared" si="138"/>
        <v>16000</v>
      </c>
    </row>
    <row r="949" spans="1:5" x14ac:dyDescent="0.2">
      <c r="A949" s="283" t="s">
        <v>168</v>
      </c>
      <c r="B949" s="272">
        <v>279</v>
      </c>
      <c r="C949" s="273">
        <f>REMUNERATION!L259</f>
        <v>279</v>
      </c>
      <c r="D949" s="277">
        <f t="shared" si="136"/>
        <v>300</v>
      </c>
      <c r="E949" s="277">
        <f t="shared" si="138"/>
        <v>300</v>
      </c>
    </row>
    <row r="950" spans="1:5" x14ac:dyDescent="0.2">
      <c r="A950" s="287"/>
      <c r="C950" s="273"/>
      <c r="D950" s="277"/>
      <c r="E950" s="277"/>
    </row>
    <row r="951" spans="1:5" ht="12" thickBot="1" x14ac:dyDescent="0.25">
      <c r="A951" s="283" t="s">
        <v>209</v>
      </c>
      <c r="B951" s="274">
        <f>SUM(B940:B949)</f>
        <v>2119186</v>
      </c>
      <c r="C951" s="275">
        <f>SUM(C940:C949)</f>
        <v>2234726.5088000004</v>
      </c>
      <c r="D951" s="276">
        <f>SUM(D940:D949)</f>
        <v>2364400</v>
      </c>
      <c r="E951" s="276">
        <f>SUM(E940:E949)</f>
        <v>2501600</v>
      </c>
    </row>
    <row r="952" spans="1:5" ht="12" thickTop="1" x14ac:dyDescent="0.2">
      <c r="A952" s="287"/>
      <c r="C952" s="273"/>
      <c r="D952" s="277"/>
      <c r="E952" s="277"/>
    </row>
    <row r="953" spans="1:5" x14ac:dyDescent="0.2">
      <c r="A953" s="313" t="s">
        <v>203</v>
      </c>
      <c r="C953" s="273"/>
      <c r="D953" s="277"/>
      <c r="E953" s="277"/>
    </row>
    <row r="954" spans="1:5" x14ac:dyDescent="0.2">
      <c r="A954" s="283"/>
      <c r="C954" s="273"/>
      <c r="D954" s="277"/>
      <c r="E954" s="277"/>
    </row>
    <row r="955" spans="1:5" x14ac:dyDescent="0.2">
      <c r="A955" s="262" t="s">
        <v>141</v>
      </c>
      <c r="B955" s="272">
        <v>0</v>
      </c>
      <c r="C955" s="273"/>
      <c r="D955" s="277">
        <f t="shared" ref="D955:D959" si="139">ROUND(+C955*(1+D$1),-2)</f>
        <v>0</v>
      </c>
      <c r="E955" s="277">
        <f t="shared" ref="E955:E957" si="140">ROUND(+D955*(1+E$1),-2)</f>
        <v>0</v>
      </c>
    </row>
    <row r="956" spans="1:5" x14ac:dyDescent="0.2">
      <c r="A956" s="283" t="s">
        <v>159</v>
      </c>
      <c r="B956" s="272">
        <v>20376</v>
      </c>
      <c r="C956" s="273">
        <v>20376</v>
      </c>
      <c r="D956" s="277">
        <f t="shared" si="139"/>
        <v>21600</v>
      </c>
      <c r="E956" s="277">
        <f t="shared" si="140"/>
        <v>22900</v>
      </c>
    </row>
    <row r="957" spans="1:5" x14ac:dyDescent="0.2">
      <c r="A957" s="262" t="s">
        <v>479</v>
      </c>
      <c r="B957" s="272">
        <v>500000</v>
      </c>
      <c r="C957" s="273">
        <v>500000</v>
      </c>
      <c r="D957" s="277">
        <f t="shared" si="139"/>
        <v>529000</v>
      </c>
      <c r="E957" s="277">
        <f t="shared" si="140"/>
        <v>559700</v>
      </c>
    </row>
    <row r="958" spans="1:5" x14ac:dyDescent="0.2">
      <c r="A958" s="283" t="s">
        <v>403</v>
      </c>
      <c r="B958" s="272">
        <v>0</v>
      </c>
      <c r="C958" s="273">
        <v>0</v>
      </c>
      <c r="D958" s="277">
        <f t="shared" si="139"/>
        <v>0</v>
      </c>
      <c r="E958" s="277">
        <f t="shared" ref="E958" si="141">ROUND(+D958*(1+E$1),-2)</f>
        <v>0</v>
      </c>
    </row>
    <row r="959" spans="1:5" x14ac:dyDescent="0.2">
      <c r="A959" s="287" t="s">
        <v>265</v>
      </c>
      <c r="B959" s="272">
        <v>0</v>
      </c>
      <c r="C959" s="273">
        <v>0</v>
      </c>
      <c r="D959" s="277">
        <f t="shared" si="139"/>
        <v>0</v>
      </c>
      <c r="E959" s="277"/>
    </row>
    <row r="960" spans="1:5" x14ac:dyDescent="0.2">
      <c r="A960" s="262" t="s">
        <v>155</v>
      </c>
      <c r="B960" s="272">
        <v>150000</v>
      </c>
      <c r="C960" s="273">
        <v>150000</v>
      </c>
      <c r="D960" s="277">
        <v>159300</v>
      </c>
      <c r="E960" s="277">
        <v>168000</v>
      </c>
    </row>
    <row r="961" spans="1:5" ht="12" thickBot="1" x14ac:dyDescent="0.25">
      <c r="A961" s="283" t="s">
        <v>210</v>
      </c>
      <c r="B961" s="274">
        <f>SUM(B955:B960)</f>
        <v>670376</v>
      </c>
      <c r="C961" s="275">
        <f>SUM(C955:C960)</f>
        <v>670376</v>
      </c>
      <c r="D961" s="276">
        <f>SUM(D955:D960)</f>
        <v>709900</v>
      </c>
      <c r="E961" s="276">
        <f>SUM(E955:E960)</f>
        <v>750600</v>
      </c>
    </row>
    <row r="962" spans="1:5" ht="12" thickTop="1" x14ac:dyDescent="0.2">
      <c r="A962" s="287"/>
      <c r="C962" s="273"/>
      <c r="D962" s="277"/>
      <c r="E962" s="277"/>
    </row>
    <row r="963" spans="1:5" x14ac:dyDescent="0.2">
      <c r="A963" s="313" t="s">
        <v>211</v>
      </c>
      <c r="C963" s="273"/>
      <c r="D963" s="277"/>
      <c r="E963" s="277"/>
    </row>
    <row r="964" spans="1:5" x14ac:dyDescent="0.2">
      <c r="A964" s="283"/>
      <c r="C964" s="273"/>
      <c r="D964" s="277"/>
      <c r="E964" s="277"/>
    </row>
    <row r="965" spans="1:5" x14ac:dyDescent="0.2">
      <c r="A965" s="262" t="s">
        <v>244</v>
      </c>
      <c r="B965" s="272">
        <v>0</v>
      </c>
      <c r="C965" s="273">
        <v>0</v>
      </c>
      <c r="D965" s="277">
        <f t="shared" ref="D965:D966" si="142">ROUND(+C965*(1+D$1),-2)</f>
        <v>0</v>
      </c>
      <c r="E965" s="277">
        <f t="shared" ref="E965:E966" si="143">ROUND(+D965*(1+E$1),-2)</f>
        <v>0</v>
      </c>
    </row>
    <row r="966" spans="1:5" x14ac:dyDescent="0.2">
      <c r="A966" s="262" t="s">
        <v>245</v>
      </c>
      <c r="B966" s="272">
        <v>0</v>
      </c>
      <c r="C966" s="273">
        <v>0</v>
      </c>
      <c r="D966" s="277">
        <f t="shared" si="142"/>
        <v>0</v>
      </c>
      <c r="E966" s="277">
        <f t="shared" si="143"/>
        <v>0</v>
      </c>
    </row>
    <row r="967" spans="1:5" x14ac:dyDescent="0.2">
      <c r="A967" s="287"/>
      <c r="C967" s="273"/>
      <c r="D967" s="277"/>
      <c r="E967" s="277"/>
    </row>
    <row r="968" spans="1:5" ht="12" thickBot="1" x14ac:dyDescent="0.25">
      <c r="A968" s="283" t="s">
        <v>212</v>
      </c>
      <c r="B968" s="276">
        <f>SUM(B965:B967)</f>
        <v>0</v>
      </c>
      <c r="C968" s="275">
        <f>SUM(C965:C967)</f>
        <v>0</v>
      </c>
      <c r="D968" s="276">
        <f>SUM(D965:D967)</f>
        <v>0</v>
      </c>
      <c r="E968" s="276">
        <f>SUM(E965:E967)</f>
        <v>0</v>
      </c>
    </row>
    <row r="969" spans="1:5" ht="12" thickTop="1" x14ac:dyDescent="0.2">
      <c r="A969" s="283"/>
      <c r="C969" s="273"/>
      <c r="D969" s="277"/>
      <c r="E969" s="277"/>
    </row>
    <row r="970" spans="1:5" x14ac:dyDescent="0.2">
      <c r="A970" s="287"/>
      <c r="C970" s="273"/>
      <c r="D970" s="277"/>
      <c r="E970" s="277"/>
    </row>
    <row r="971" spans="1:5" x14ac:dyDescent="0.2">
      <c r="A971" s="313" t="s">
        <v>213</v>
      </c>
      <c r="C971" s="273"/>
      <c r="D971" s="277"/>
      <c r="E971" s="277"/>
    </row>
    <row r="972" spans="1:5" x14ac:dyDescent="0.2">
      <c r="A972" s="283"/>
      <c r="C972" s="273"/>
      <c r="D972" s="277"/>
      <c r="E972" s="277"/>
    </row>
    <row r="973" spans="1:5" x14ac:dyDescent="0.2">
      <c r="A973" s="287"/>
      <c r="C973" s="273"/>
      <c r="D973" s="277"/>
      <c r="E973" s="277"/>
    </row>
    <row r="974" spans="1:5" ht="12" thickBot="1" x14ac:dyDescent="0.25">
      <c r="A974" s="283" t="s">
        <v>214</v>
      </c>
      <c r="B974" s="276">
        <f>B985</f>
        <v>0</v>
      </c>
      <c r="C974" s="275">
        <f>C985</f>
        <v>0</v>
      </c>
      <c r="D974" s="276">
        <f>D985</f>
        <v>0</v>
      </c>
      <c r="E974" s="276">
        <f>E985</f>
        <v>0</v>
      </c>
    </row>
    <row r="975" spans="1:5" ht="12" thickTop="1" x14ac:dyDescent="0.2">
      <c r="A975" s="287"/>
      <c r="C975" s="273"/>
      <c r="D975" s="271"/>
      <c r="E975" s="271"/>
    </row>
    <row r="976" spans="1:5" x14ac:dyDescent="0.2">
      <c r="A976" s="287"/>
      <c r="C976" s="273"/>
      <c r="D976" s="271"/>
      <c r="E976" s="271"/>
    </row>
    <row r="977" spans="1:5" ht="12" thickBot="1" x14ac:dyDescent="0.25">
      <c r="A977" s="283" t="s">
        <v>121</v>
      </c>
      <c r="B977" s="274">
        <f>B968+B961+B951+B974</f>
        <v>2789562</v>
      </c>
      <c r="C977" s="275">
        <f>C968+C961+C951+C974</f>
        <v>2905102.5088000004</v>
      </c>
      <c r="D977" s="276">
        <f>D968+D961+D951+D974</f>
        <v>3074300</v>
      </c>
      <c r="E977" s="276">
        <f>E968+E961+E951+E974</f>
        <v>3252200</v>
      </c>
    </row>
    <row r="978" spans="1:5" ht="12" thickTop="1" x14ac:dyDescent="0.2">
      <c r="A978" s="287"/>
      <c r="C978" s="273"/>
      <c r="D978" s="271"/>
      <c r="E978" s="271"/>
    </row>
    <row r="979" spans="1:5" x14ac:dyDescent="0.2">
      <c r="A979" s="313" t="s">
        <v>213</v>
      </c>
      <c r="C979" s="273"/>
      <c r="D979" s="271"/>
      <c r="E979" s="271"/>
    </row>
    <row r="980" spans="1:5" x14ac:dyDescent="0.2">
      <c r="A980" s="283"/>
      <c r="C980" s="273"/>
      <c r="D980" s="271"/>
      <c r="E980" s="271"/>
    </row>
    <row r="981" spans="1:5" x14ac:dyDescent="0.2">
      <c r="A981" s="262" t="s">
        <v>250</v>
      </c>
      <c r="B981" s="272">
        <v>0</v>
      </c>
      <c r="C981" s="273">
        <v>0</v>
      </c>
      <c r="D981" s="277">
        <f t="shared" ref="D981:D983" si="144">ROUND(+C981*(1+D$1),-2)</f>
        <v>0</v>
      </c>
      <c r="E981" s="277">
        <f t="shared" ref="E981:E983" si="145">ROUND(+D981*(1+E$1),-2)</f>
        <v>0</v>
      </c>
    </row>
    <row r="982" spans="1:5" x14ac:dyDescent="0.2">
      <c r="A982" s="262" t="s">
        <v>251</v>
      </c>
      <c r="C982" s="273">
        <f t="shared" ref="C982:C983" si="146">B982+B982*0.06</f>
        <v>0</v>
      </c>
      <c r="D982" s="277">
        <f t="shared" si="144"/>
        <v>0</v>
      </c>
      <c r="E982" s="277">
        <f t="shared" si="145"/>
        <v>0</v>
      </c>
    </row>
    <row r="983" spans="1:5" x14ac:dyDescent="0.2">
      <c r="A983" s="262" t="s">
        <v>252</v>
      </c>
      <c r="C983" s="273">
        <f t="shared" si="146"/>
        <v>0</v>
      </c>
      <c r="D983" s="277">
        <f t="shared" si="144"/>
        <v>0</v>
      </c>
      <c r="E983" s="277">
        <f t="shared" si="145"/>
        <v>0</v>
      </c>
    </row>
    <row r="984" spans="1:5" x14ac:dyDescent="0.2">
      <c r="A984" s="287"/>
      <c r="C984" s="273"/>
      <c r="D984" s="271"/>
      <c r="E984" s="271"/>
    </row>
    <row r="985" spans="1:5" ht="12" thickBot="1" x14ac:dyDescent="0.25">
      <c r="A985" s="283" t="s">
        <v>129</v>
      </c>
      <c r="B985" s="276">
        <f>SUM(B981:B983)</f>
        <v>0</v>
      </c>
      <c r="C985" s="275">
        <f>SUM(C981:C983)</f>
        <v>0</v>
      </c>
      <c r="D985" s="276">
        <f>SUM(D981:D983)</f>
        <v>0</v>
      </c>
      <c r="E985" s="276">
        <f>SUM(E981:E983)</f>
        <v>0</v>
      </c>
    </row>
    <row r="986" spans="1:5" ht="12" thickTop="1" x14ac:dyDescent="0.2">
      <c r="A986" s="287"/>
      <c r="C986" s="273"/>
      <c r="D986" s="277"/>
      <c r="E986" s="277"/>
    </row>
    <row r="987" spans="1:5" x14ac:dyDescent="0.2">
      <c r="B987" s="263" t="s">
        <v>522</v>
      </c>
      <c r="C987" s="331" t="s">
        <v>522</v>
      </c>
    </row>
    <row r="988" spans="1:5" x14ac:dyDescent="0.2">
      <c r="A988" s="262"/>
      <c r="B988" s="263" t="s">
        <v>207</v>
      </c>
      <c r="C988" s="299" t="s">
        <v>207</v>
      </c>
      <c r="D988" s="263" t="s">
        <v>207</v>
      </c>
      <c r="E988" s="263" t="s">
        <v>207</v>
      </c>
    </row>
    <row r="989" spans="1:5" x14ac:dyDescent="0.2">
      <c r="B989" s="263" t="str">
        <f>B9</f>
        <v>2016/2017</v>
      </c>
      <c r="C989" s="299" t="str">
        <f>C9</f>
        <v>2017/2018</v>
      </c>
      <c r="D989" s="263" t="str">
        <f>D9</f>
        <v>2018/2019</v>
      </c>
      <c r="E989" s="311" t="str">
        <f>E9</f>
        <v>2019/2020</v>
      </c>
    </row>
    <row r="991" spans="1:5" ht="15.75" x14ac:dyDescent="0.25">
      <c r="A991" s="269" t="s">
        <v>390</v>
      </c>
      <c r="C991" s="273"/>
      <c r="D991" s="277"/>
      <c r="E991" s="277"/>
    </row>
    <row r="992" spans="1:5" x14ac:dyDescent="0.2">
      <c r="A992" s="262"/>
      <c r="C992" s="273"/>
      <c r="D992" s="277"/>
      <c r="E992" s="277"/>
    </row>
    <row r="993" spans="1:5" x14ac:dyDescent="0.2">
      <c r="A993" s="270" t="s">
        <v>208</v>
      </c>
      <c r="C993" s="273"/>
      <c r="D993" s="277"/>
      <c r="E993" s="277"/>
    </row>
    <row r="994" spans="1:5" x14ac:dyDescent="0.2">
      <c r="A994" s="262"/>
      <c r="C994" s="273"/>
      <c r="D994" s="277"/>
      <c r="E994" s="277"/>
    </row>
    <row r="995" spans="1:5" x14ac:dyDescent="0.2">
      <c r="A995" s="262" t="s">
        <v>161</v>
      </c>
      <c r="B995" s="272">
        <v>3173593</v>
      </c>
      <c r="C995" s="273">
        <f>REMUNERATION!F277</f>
        <v>3673613.88</v>
      </c>
      <c r="D995" s="277">
        <f t="shared" ref="D995:D1007" si="147">ROUND(+C995*(1+D$1),-2)</f>
        <v>3886700</v>
      </c>
      <c r="E995" s="277">
        <f t="shared" ref="E995:E997" si="148">ROUND(+D995*(1+E$1),-2)</f>
        <v>4112100</v>
      </c>
    </row>
    <row r="996" spans="1:5" x14ac:dyDescent="0.2">
      <c r="A996" s="262" t="s">
        <v>195</v>
      </c>
      <c r="B996" s="272">
        <v>264466</v>
      </c>
      <c r="C996" s="273">
        <f>REMUNERATION!N277</f>
        <v>306134.49000000005</v>
      </c>
      <c r="D996" s="277">
        <f t="shared" si="147"/>
        <v>323900</v>
      </c>
      <c r="E996" s="277">
        <f t="shared" si="148"/>
        <v>342700</v>
      </c>
    </row>
    <row r="997" spans="1:5" x14ac:dyDescent="0.2">
      <c r="A997" s="262" t="s">
        <v>157</v>
      </c>
      <c r="B997" s="272">
        <v>15000</v>
      </c>
      <c r="C997" s="273">
        <f>REMUNERATION!O277</f>
        <v>0</v>
      </c>
      <c r="D997" s="277">
        <f t="shared" si="147"/>
        <v>0</v>
      </c>
      <c r="E997" s="277">
        <f t="shared" si="148"/>
        <v>0</v>
      </c>
    </row>
    <row r="998" spans="1:5" x14ac:dyDescent="0.2">
      <c r="A998" s="262" t="s">
        <v>162</v>
      </c>
      <c r="B998" s="272">
        <v>67200</v>
      </c>
      <c r="C998" s="273">
        <f>REMUNERATION!I277</f>
        <v>75600</v>
      </c>
      <c r="D998" s="277">
        <f t="shared" si="147"/>
        <v>80000</v>
      </c>
      <c r="E998" s="277">
        <f t="shared" ref="E998:E1005" si="149">ROUND(+D998*(1+E$1),-2)</f>
        <v>84600</v>
      </c>
    </row>
    <row r="999" spans="1:5" x14ac:dyDescent="0.2">
      <c r="A999" s="262" t="s">
        <v>163</v>
      </c>
      <c r="B999" s="272">
        <v>371230</v>
      </c>
      <c r="C999" s="273">
        <f>REMUNERATION!H277</f>
        <v>447332.76000000007</v>
      </c>
      <c r="D999" s="277">
        <f t="shared" si="147"/>
        <v>473300</v>
      </c>
      <c r="E999" s="277">
        <f t="shared" si="149"/>
        <v>500800</v>
      </c>
    </row>
    <row r="1000" spans="1:5" x14ac:dyDescent="0.2">
      <c r="A1000" s="262" t="s">
        <v>133</v>
      </c>
      <c r="B1000" s="272">
        <v>698191</v>
      </c>
      <c r="C1000" s="273">
        <f>REMUNERATION!G277</f>
        <v>808195.05359999998</v>
      </c>
      <c r="D1000" s="277">
        <f t="shared" si="147"/>
        <v>855100</v>
      </c>
      <c r="E1000" s="277">
        <f t="shared" si="149"/>
        <v>904700</v>
      </c>
    </row>
    <row r="1001" spans="1:5" x14ac:dyDescent="0.2">
      <c r="A1001" s="262" t="s">
        <v>275</v>
      </c>
      <c r="B1001" s="272">
        <v>0</v>
      </c>
      <c r="C1001" s="273">
        <v>0</v>
      </c>
      <c r="D1001" s="277">
        <f t="shared" si="147"/>
        <v>0</v>
      </c>
      <c r="E1001" s="277">
        <f t="shared" ref="E1001" si="150">ROUND(+D1001*(1+E$1),-2)</f>
        <v>0</v>
      </c>
    </row>
    <row r="1002" spans="1:5" x14ac:dyDescent="0.2">
      <c r="A1002" s="262" t="s">
        <v>4</v>
      </c>
      <c r="B1002" s="272">
        <v>4000</v>
      </c>
      <c r="C1002" s="273">
        <v>0</v>
      </c>
      <c r="D1002" s="277">
        <f t="shared" si="147"/>
        <v>0</v>
      </c>
      <c r="E1002" s="277">
        <f t="shared" ref="E1002" si="151">ROUND(+D1002*(1+E$1),-2)</f>
        <v>0</v>
      </c>
    </row>
    <row r="1003" spans="1:5" x14ac:dyDescent="0.2">
      <c r="A1003" s="262" t="s">
        <v>165</v>
      </c>
      <c r="B1003" s="272">
        <v>899640</v>
      </c>
      <c r="C1003" s="273">
        <f>REMUNERATION!K277</f>
        <v>911280</v>
      </c>
      <c r="D1003" s="277">
        <f t="shared" si="147"/>
        <v>964100</v>
      </c>
      <c r="E1003" s="277">
        <f t="shared" si="149"/>
        <v>1020000</v>
      </c>
    </row>
    <row r="1004" spans="1:5" x14ac:dyDescent="0.2">
      <c r="A1004" s="262" t="s">
        <v>164</v>
      </c>
      <c r="B1004" s="272">
        <v>32400</v>
      </c>
      <c r="C1004" s="273">
        <f>REMUNERATION!E276</f>
        <v>32400</v>
      </c>
      <c r="D1004" s="277">
        <f t="shared" si="147"/>
        <v>34300</v>
      </c>
      <c r="E1004" s="277">
        <f t="shared" si="149"/>
        <v>36300</v>
      </c>
    </row>
    <row r="1005" spans="1:5" x14ac:dyDescent="0.2">
      <c r="A1005" s="262" t="s">
        <v>166</v>
      </c>
      <c r="B1005" s="272">
        <v>15408</v>
      </c>
      <c r="C1005" s="273">
        <f>REMUNERATION!J277</f>
        <v>17334</v>
      </c>
      <c r="D1005" s="277">
        <f t="shared" si="147"/>
        <v>18300</v>
      </c>
      <c r="E1005" s="277">
        <f t="shared" si="149"/>
        <v>19400</v>
      </c>
    </row>
    <row r="1006" spans="1:5" x14ac:dyDescent="0.2">
      <c r="A1006" s="262" t="s">
        <v>167</v>
      </c>
      <c r="B1006" s="272">
        <v>41735</v>
      </c>
      <c r="C1006" s="273">
        <f>REMUNERATION!M277</f>
        <v>49666.283700000015</v>
      </c>
      <c r="D1006" s="277">
        <v>44800</v>
      </c>
      <c r="E1006" s="277">
        <v>48164</v>
      </c>
    </row>
    <row r="1007" spans="1:5" x14ac:dyDescent="0.2">
      <c r="A1007" s="283" t="s">
        <v>168</v>
      </c>
      <c r="B1007" s="272">
        <v>744</v>
      </c>
      <c r="C1007" s="273">
        <f>REMUNERATION!L277</f>
        <v>837</v>
      </c>
      <c r="D1007" s="277">
        <f t="shared" si="147"/>
        <v>900</v>
      </c>
      <c r="E1007" s="277">
        <v>36</v>
      </c>
    </row>
    <row r="1008" spans="1:5" x14ac:dyDescent="0.2">
      <c r="A1008" s="287"/>
      <c r="C1008" s="273"/>
      <c r="D1008" s="277"/>
      <c r="E1008" s="277"/>
    </row>
    <row r="1009" spans="1:6" ht="12" thickBot="1" x14ac:dyDescent="0.25">
      <c r="A1009" s="283" t="s">
        <v>209</v>
      </c>
      <c r="B1009" s="274">
        <f>SUM(B995:B1007)</f>
        <v>5583607</v>
      </c>
      <c r="C1009" s="275">
        <f>SUM(C995:C1007)</f>
        <v>6322393.4672999997</v>
      </c>
      <c r="D1009" s="276">
        <f>SUM(D995:D1007)</f>
        <v>6681400</v>
      </c>
      <c r="E1009" s="276">
        <f>SUM(E995:E1007)</f>
        <v>7068800</v>
      </c>
    </row>
    <row r="1010" spans="1:6" ht="12" thickTop="1" x14ac:dyDescent="0.2">
      <c r="A1010" s="287"/>
      <c r="C1010" s="273"/>
      <c r="D1010" s="277"/>
      <c r="E1010" s="277"/>
    </row>
    <row r="1011" spans="1:6" x14ac:dyDescent="0.2">
      <c r="A1011" s="313" t="s">
        <v>203</v>
      </c>
      <c r="C1011" s="273"/>
      <c r="D1011" s="277"/>
      <c r="E1011" s="277"/>
    </row>
    <row r="1012" spans="1:6" x14ac:dyDescent="0.2">
      <c r="A1012" s="283"/>
      <c r="C1012" s="273"/>
      <c r="D1012" s="277"/>
      <c r="E1012" s="277"/>
    </row>
    <row r="1013" spans="1:6" x14ac:dyDescent="0.2">
      <c r="A1013" s="262" t="s">
        <v>281</v>
      </c>
      <c r="B1013" s="272">
        <v>750000</v>
      </c>
      <c r="C1013" s="273">
        <v>750000</v>
      </c>
      <c r="D1013" s="277">
        <f t="shared" ref="D1013:D1022" si="152">ROUND(+C1013*(1+D$1),-2)</f>
        <v>793500</v>
      </c>
      <c r="E1013" s="277">
        <f t="shared" ref="E1013:E1022" si="153">ROUND(+D1013*(1+E$1),-2)</f>
        <v>839500</v>
      </c>
    </row>
    <row r="1014" spans="1:6" x14ac:dyDescent="0.2">
      <c r="A1014" s="262" t="s">
        <v>386</v>
      </c>
      <c r="B1014" s="272">
        <v>250000</v>
      </c>
      <c r="C1014" s="273">
        <v>250000</v>
      </c>
      <c r="D1014" s="277">
        <f t="shared" si="152"/>
        <v>264500</v>
      </c>
      <c r="E1014" s="277">
        <f t="shared" ref="E1014" si="154">ROUND(+D1014*(1+E$1),-2)</f>
        <v>279800</v>
      </c>
    </row>
    <row r="1015" spans="1:6" x14ac:dyDescent="0.2">
      <c r="A1015" s="262" t="s">
        <v>385</v>
      </c>
      <c r="B1015" s="272">
        <v>200000</v>
      </c>
      <c r="C1015" s="273">
        <v>200000</v>
      </c>
      <c r="D1015" s="277">
        <f t="shared" si="152"/>
        <v>211600</v>
      </c>
      <c r="E1015" s="277">
        <f t="shared" ref="E1015" si="155">ROUND(+D1015*(1+E$1),-2)</f>
        <v>223900</v>
      </c>
    </row>
    <row r="1016" spans="1:6" x14ac:dyDescent="0.2">
      <c r="A1016" s="283" t="s">
        <v>159</v>
      </c>
      <c r="B1016" s="272">
        <v>52128</v>
      </c>
      <c r="C1016" s="273">
        <v>52128</v>
      </c>
      <c r="D1016" s="277">
        <f t="shared" si="152"/>
        <v>55200</v>
      </c>
      <c r="E1016" s="277">
        <f t="shared" si="153"/>
        <v>58400</v>
      </c>
    </row>
    <row r="1017" spans="1:6" s="287" customFormat="1" x14ac:dyDescent="0.2">
      <c r="A1017" s="283" t="s">
        <v>35</v>
      </c>
      <c r="B1017" s="272">
        <v>800000</v>
      </c>
      <c r="C1017" s="273">
        <v>1300000</v>
      </c>
      <c r="D1017" s="277">
        <f t="shared" si="152"/>
        <v>1375400</v>
      </c>
      <c r="E1017" s="277">
        <f t="shared" si="153"/>
        <v>1455200</v>
      </c>
      <c r="F1017" s="288"/>
    </row>
    <row r="1018" spans="1:6" x14ac:dyDescent="0.2">
      <c r="A1018" s="283" t="s">
        <v>265</v>
      </c>
      <c r="B1018" s="272">
        <v>0</v>
      </c>
      <c r="C1018" s="273">
        <v>0</v>
      </c>
      <c r="D1018" s="277">
        <f t="shared" si="152"/>
        <v>0</v>
      </c>
      <c r="E1018" s="277">
        <f t="shared" si="153"/>
        <v>0</v>
      </c>
    </row>
    <row r="1019" spans="1:6" x14ac:dyDescent="0.2">
      <c r="A1019" s="262" t="s">
        <v>155</v>
      </c>
      <c r="B1019" s="272">
        <v>150000</v>
      </c>
      <c r="C1019" s="273">
        <v>150000</v>
      </c>
      <c r="D1019" s="277">
        <v>159500</v>
      </c>
      <c r="E1019" s="277">
        <v>168900</v>
      </c>
    </row>
    <row r="1020" spans="1:6" x14ac:dyDescent="0.2">
      <c r="A1020" s="262" t="s">
        <v>321</v>
      </c>
      <c r="B1020" s="272">
        <v>200000</v>
      </c>
      <c r="C1020" s="273">
        <v>200000</v>
      </c>
      <c r="D1020" s="277">
        <f t="shared" si="152"/>
        <v>211600</v>
      </c>
      <c r="E1020" s="277">
        <f t="shared" si="153"/>
        <v>223900</v>
      </c>
    </row>
    <row r="1021" spans="1:6" x14ac:dyDescent="0.2">
      <c r="A1021" s="262" t="s">
        <v>319</v>
      </c>
      <c r="B1021" s="272">
        <v>500000</v>
      </c>
      <c r="C1021" s="273">
        <v>500000</v>
      </c>
      <c r="D1021" s="277">
        <f t="shared" si="152"/>
        <v>529000</v>
      </c>
      <c r="E1021" s="277">
        <f t="shared" si="153"/>
        <v>559700</v>
      </c>
    </row>
    <row r="1022" spans="1:6" x14ac:dyDescent="0.2">
      <c r="A1022" s="262" t="s">
        <v>320</v>
      </c>
      <c r="B1022" s="272">
        <v>400000</v>
      </c>
      <c r="C1022" s="273">
        <v>400000</v>
      </c>
      <c r="D1022" s="277">
        <f t="shared" si="152"/>
        <v>423200</v>
      </c>
      <c r="E1022" s="277">
        <f t="shared" si="153"/>
        <v>447700</v>
      </c>
    </row>
    <row r="1023" spans="1:6" ht="12" thickBot="1" x14ac:dyDescent="0.25">
      <c r="A1023" s="283" t="s">
        <v>210</v>
      </c>
      <c r="B1023" s="274">
        <f>SUM(B1013:B1022)</f>
        <v>3302128</v>
      </c>
      <c r="C1023" s="275">
        <f>SUM(C1013:C1022)</f>
        <v>3802128</v>
      </c>
      <c r="D1023" s="276">
        <f>SUM(D1013:D1022)</f>
        <v>4023500</v>
      </c>
      <c r="E1023" s="276">
        <f>SUM(E1013:E1022)</f>
        <v>4257000</v>
      </c>
    </row>
    <row r="1024" spans="1:6" ht="12" thickTop="1" x14ac:dyDescent="0.2">
      <c r="A1024" s="287"/>
      <c r="C1024" s="273"/>
      <c r="D1024" s="277"/>
      <c r="E1024" s="277"/>
    </row>
    <row r="1025" spans="1:5" x14ac:dyDescent="0.2">
      <c r="A1025" s="313" t="s">
        <v>211</v>
      </c>
      <c r="C1025" s="273"/>
      <c r="D1025" s="277"/>
      <c r="E1025" s="277"/>
    </row>
    <row r="1026" spans="1:5" x14ac:dyDescent="0.2">
      <c r="A1026" s="283"/>
      <c r="C1026" s="273"/>
      <c r="D1026" s="277"/>
      <c r="E1026" s="277"/>
    </row>
    <row r="1027" spans="1:5" x14ac:dyDescent="0.2">
      <c r="A1027" s="262" t="s">
        <v>244</v>
      </c>
      <c r="B1027" s="272">
        <v>0</v>
      </c>
      <c r="C1027" s="273">
        <v>0</v>
      </c>
      <c r="D1027" s="277">
        <f t="shared" ref="D1027:D1028" si="156">ROUND(+C1027*(1+D$1),-2)</f>
        <v>0</v>
      </c>
      <c r="E1027" s="277">
        <f t="shared" ref="E1027:E1028" si="157">ROUND(+D1027*(1+E$1),-2)</f>
        <v>0</v>
      </c>
    </row>
    <row r="1028" spans="1:5" x14ac:dyDescent="0.2">
      <c r="A1028" s="262" t="s">
        <v>245</v>
      </c>
      <c r="B1028" s="272">
        <v>0</v>
      </c>
      <c r="C1028" s="273">
        <v>0</v>
      </c>
      <c r="D1028" s="277">
        <f t="shared" si="156"/>
        <v>0</v>
      </c>
      <c r="E1028" s="277">
        <f t="shared" si="157"/>
        <v>0</v>
      </c>
    </row>
    <row r="1029" spans="1:5" x14ac:dyDescent="0.2">
      <c r="A1029" s="287"/>
      <c r="C1029" s="273"/>
      <c r="D1029" s="277"/>
      <c r="E1029" s="277"/>
    </row>
    <row r="1030" spans="1:5" ht="12" thickBot="1" x14ac:dyDescent="0.25">
      <c r="A1030" s="283" t="s">
        <v>212</v>
      </c>
      <c r="B1030" s="276">
        <f>SUM(B1027:B1029)</f>
        <v>0</v>
      </c>
      <c r="C1030" s="275">
        <f>SUM(C1027:C1029)</f>
        <v>0</v>
      </c>
      <c r="D1030" s="276">
        <f>SUM(D1027:D1029)</f>
        <v>0</v>
      </c>
      <c r="E1030" s="276">
        <f>SUM(E1027:E1029)</f>
        <v>0</v>
      </c>
    </row>
    <row r="1031" spans="1:5" ht="12" thickTop="1" x14ac:dyDescent="0.2">
      <c r="A1031" s="283"/>
      <c r="C1031" s="273"/>
      <c r="D1031" s="277"/>
      <c r="E1031" s="277"/>
    </row>
    <row r="1032" spans="1:5" x14ac:dyDescent="0.2">
      <c r="A1032" s="287"/>
      <c r="C1032" s="273"/>
      <c r="D1032" s="277"/>
      <c r="E1032" s="277"/>
    </row>
    <row r="1033" spans="1:5" x14ac:dyDescent="0.2">
      <c r="A1033" s="313" t="s">
        <v>213</v>
      </c>
      <c r="C1033" s="273"/>
      <c r="D1033" s="277"/>
      <c r="E1033" s="277"/>
    </row>
    <row r="1034" spans="1:5" x14ac:dyDescent="0.2">
      <c r="A1034" s="287"/>
      <c r="C1034" s="273"/>
      <c r="D1034" s="277"/>
      <c r="E1034" s="277"/>
    </row>
    <row r="1035" spans="1:5" ht="12" thickBot="1" x14ac:dyDescent="0.25">
      <c r="A1035" s="283" t="s">
        <v>214</v>
      </c>
      <c r="B1035" s="276">
        <f>B1045</f>
        <v>0</v>
      </c>
      <c r="C1035" s="275">
        <f>C1045</f>
        <v>0</v>
      </c>
      <c r="D1035" s="276">
        <f>D1045</f>
        <v>0</v>
      </c>
      <c r="E1035" s="276">
        <f>E1045</f>
        <v>0</v>
      </c>
    </row>
    <row r="1036" spans="1:5" ht="12" thickTop="1" x14ac:dyDescent="0.2">
      <c r="A1036" s="287"/>
      <c r="C1036" s="273"/>
      <c r="D1036" s="271"/>
      <c r="E1036" s="271"/>
    </row>
    <row r="1037" spans="1:5" ht="12" thickBot="1" x14ac:dyDescent="0.25">
      <c r="A1037" s="283" t="s">
        <v>118</v>
      </c>
      <c r="B1037" s="274">
        <f>B1030+B1023+B1009+B1035</f>
        <v>8885735</v>
      </c>
      <c r="C1037" s="275">
        <f>C1030+C1023+C1009+C1035</f>
        <v>10124521.4673</v>
      </c>
      <c r="D1037" s="276">
        <f>D1030+D1023+D1009+D1035</f>
        <v>10704900</v>
      </c>
      <c r="E1037" s="276">
        <f>E1030+E1023+E1009+E1035</f>
        <v>11325800</v>
      </c>
    </row>
    <row r="1038" spans="1:5" ht="12" thickTop="1" x14ac:dyDescent="0.2">
      <c r="A1038" s="287"/>
      <c r="C1038" s="273"/>
      <c r="D1038" s="271"/>
      <c r="E1038" s="271"/>
    </row>
    <row r="1039" spans="1:5" x14ac:dyDescent="0.2">
      <c r="A1039" s="313" t="s">
        <v>213</v>
      </c>
      <c r="C1039" s="273"/>
      <c r="D1039" s="271"/>
      <c r="E1039" s="271"/>
    </row>
    <row r="1040" spans="1:5" x14ac:dyDescent="0.2">
      <c r="A1040" s="283"/>
      <c r="C1040" s="273"/>
      <c r="D1040" s="271"/>
      <c r="E1040" s="271"/>
    </row>
    <row r="1041" spans="1:5" x14ac:dyDescent="0.2">
      <c r="A1041" s="262" t="s">
        <v>250</v>
      </c>
      <c r="B1041" s="272">
        <v>0</v>
      </c>
      <c r="C1041" s="273">
        <v>0</v>
      </c>
      <c r="D1041" s="277">
        <f t="shared" ref="D1041:D1043" si="158">ROUND(+C1041*(1+D$1),-2)</f>
        <v>0</v>
      </c>
      <c r="E1041" s="277">
        <f t="shared" ref="E1041:E1043" si="159">ROUND(+D1041*(1+E$1),-2)</f>
        <v>0</v>
      </c>
    </row>
    <row r="1042" spans="1:5" x14ac:dyDescent="0.2">
      <c r="A1042" s="262" t="s">
        <v>251</v>
      </c>
      <c r="B1042" s="272">
        <v>0</v>
      </c>
      <c r="C1042" s="273">
        <f t="shared" ref="C1042:C1043" si="160">B1042+B1042*0.06</f>
        <v>0</v>
      </c>
      <c r="D1042" s="277">
        <f t="shared" si="158"/>
        <v>0</v>
      </c>
      <c r="E1042" s="277">
        <f t="shared" si="159"/>
        <v>0</v>
      </c>
    </row>
    <row r="1043" spans="1:5" x14ac:dyDescent="0.2">
      <c r="A1043" s="262" t="s">
        <v>253</v>
      </c>
      <c r="C1043" s="273">
        <f t="shared" si="160"/>
        <v>0</v>
      </c>
      <c r="D1043" s="277">
        <f t="shared" si="158"/>
        <v>0</v>
      </c>
      <c r="E1043" s="277">
        <f t="shared" si="159"/>
        <v>0</v>
      </c>
    </row>
    <row r="1044" spans="1:5" x14ac:dyDescent="0.2">
      <c r="A1044" s="287"/>
      <c r="C1044" s="273"/>
      <c r="D1044" s="271"/>
      <c r="E1044" s="271"/>
    </row>
    <row r="1045" spans="1:5" ht="12" thickBot="1" x14ac:dyDescent="0.25">
      <c r="A1045" s="283" t="s">
        <v>129</v>
      </c>
      <c r="B1045" s="276">
        <f>SUM(B1041:B1043)</f>
        <v>0</v>
      </c>
      <c r="C1045" s="275">
        <f>SUM(C1041:C1043)</f>
        <v>0</v>
      </c>
      <c r="D1045" s="276">
        <f>SUM(D1041:D1043)</f>
        <v>0</v>
      </c>
      <c r="E1045" s="276">
        <f>SUM(E1041:E1043)</f>
        <v>0</v>
      </c>
    </row>
    <row r="1046" spans="1:5" ht="12" thickTop="1" x14ac:dyDescent="0.2">
      <c r="A1046" s="283"/>
      <c r="B1046" s="280"/>
      <c r="C1046" s="281"/>
      <c r="D1046" s="280"/>
      <c r="E1046" s="280"/>
    </row>
    <row r="1047" spans="1:5" x14ac:dyDescent="0.2">
      <c r="A1047" s="283"/>
      <c r="B1047" s="314" t="s">
        <v>522</v>
      </c>
      <c r="C1047" s="330" t="s">
        <v>522</v>
      </c>
      <c r="D1047" s="280"/>
      <c r="E1047" s="280"/>
    </row>
    <row r="1048" spans="1:5" x14ac:dyDescent="0.2">
      <c r="A1048" s="283"/>
      <c r="B1048" s="263" t="s">
        <v>207</v>
      </c>
      <c r="C1048" s="261" t="s">
        <v>207</v>
      </c>
      <c r="D1048" s="264" t="s">
        <v>207</v>
      </c>
      <c r="E1048" s="264" t="s">
        <v>207</v>
      </c>
    </row>
    <row r="1049" spans="1:5" x14ac:dyDescent="0.2">
      <c r="A1049" s="283"/>
      <c r="B1049" s="315" t="str">
        <f>B9</f>
        <v>2016/2017</v>
      </c>
      <c r="C1049" s="266" t="str">
        <f>C9</f>
        <v>2017/2018</v>
      </c>
      <c r="D1049" s="267" t="str">
        <f>D9</f>
        <v>2018/2019</v>
      </c>
      <c r="E1049" s="267" t="str">
        <f>E9</f>
        <v>2019/2020</v>
      </c>
    </row>
    <row r="1050" spans="1:5" x14ac:dyDescent="0.2">
      <c r="A1050" s="283"/>
      <c r="B1050" s="280"/>
      <c r="C1050" s="281"/>
      <c r="D1050" s="280"/>
      <c r="E1050" s="280"/>
    </row>
    <row r="1051" spans="1:5" ht="15.75" x14ac:dyDescent="0.25">
      <c r="A1051" s="269" t="s">
        <v>322</v>
      </c>
      <c r="C1051" s="273"/>
      <c r="D1051" s="277"/>
      <c r="E1051" s="277"/>
    </row>
    <row r="1052" spans="1:5" x14ac:dyDescent="0.2">
      <c r="A1052" s="262"/>
      <c r="C1052" s="273"/>
      <c r="D1052" s="277"/>
      <c r="E1052" s="277"/>
    </row>
    <row r="1053" spans="1:5" x14ac:dyDescent="0.2">
      <c r="A1053" s="270" t="s">
        <v>208</v>
      </c>
      <c r="C1053" s="273"/>
      <c r="D1053" s="277"/>
      <c r="E1053" s="277"/>
    </row>
    <row r="1054" spans="1:5" x14ac:dyDescent="0.2">
      <c r="A1054" s="262"/>
      <c r="C1054" s="273"/>
      <c r="D1054" s="277"/>
      <c r="E1054" s="277"/>
    </row>
    <row r="1055" spans="1:5" x14ac:dyDescent="0.2">
      <c r="A1055" s="262" t="s">
        <v>161</v>
      </c>
      <c r="B1055" s="272">
        <v>1743737</v>
      </c>
      <c r="C1055" s="273">
        <f>REMUNERATION!F288</f>
        <v>1420887.2400000002</v>
      </c>
      <c r="D1055" s="277">
        <f t="shared" ref="D1055:D1065" si="161">ROUND(+C1055*(1+D$1),-2)</f>
        <v>1503300</v>
      </c>
      <c r="E1055" s="277">
        <f t="shared" ref="E1055:E1065" si="162">ROUND(+D1055*(1+E$1),-2)</f>
        <v>1590500</v>
      </c>
    </row>
    <row r="1056" spans="1:5" x14ac:dyDescent="0.2">
      <c r="A1056" s="262" t="s">
        <v>195</v>
      </c>
      <c r="B1056" s="272">
        <v>145311</v>
      </c>
      <c r="C1056" s="273">
        <f>REMUNERATION!N288</f>
        <v>118407.27000000002</v>
      </c>
      <c r="D1056" s="277">
        <f t="shared" si="161"/>
        <v>125300</v>
      </c>
      <c r="E1056" s="277">
        <f t="shared" si="162"/>
        <v>132600</v>
      </c>
    </row>
    <row r="1057" spans="1:5" x14ac:dyDescent="0.2">
      <c r="A1057" s="262" t="s">
        <v>157</v>
      </c>
      <c r="B1057" s="272">
        <v>5000</v>
      </c>
      <c r="C1057" s="273">
        <f>REMUNERATION!O288</f>
        <v>0</v>
      </c>
      <c r="D1057" s="277">
        <f t="shared" si="161"/>
        <v>0</v>
      </c>
      <c r="E1057" s="277">
        <f t="shared" si="162"/>
        <v>0</v>
      </c>
    </row>
    <row r="1058" spans="1:5" x14ac:dyDescent="0.2">
      <c r="A1058" s="262" t="s">
        <v>162</v>
      </c>
      <c r="B1058" s="272">
        <v>33600</v>
      </c>
      <c r="C1058" s="273">
        <f>REMUNERATION!I288</f>
        <v>25200</v>
      </c>
      <c r="D1058" s="277">
        <f t="shared" si="161"/>
        <v>26700</v>
      </c>
      <c r="E1058" s="277">
        <f t="shared" si="162"/>
        <v>28200</v>
      </c>
    </row>
    <row r="1059" spans="1:5" x14ac:dyDescent="0.2">
      <c r="A1059" s="262" t="s">
        <v>163</v>
      </c>
      <c r="B1059" s="272">
        <v>185615</v>
      </c>
      <c r="C1059" s="273">
        <f>REMUNERATION!H288</f>
        <v>149110.91999999998</v>
      </c>
      <c r="D1059" s="277">
        <f t="shared" si="161"/>
        <v>157800</v>
      </c>
      <c r="E1059" s="277">
        <f t="shared" si="162"/>
        <v>167000</v>
      </c>
    </row>
    <row r="1060" spans="1:5" x14ac:dyDescent="0.2">
      <c r="A1060" s="262" t="s">
        <v>164</v>
      </c>
      <c r="B1060" s="272">
        <v>8500</v>
      </c>
      <c r="C1060" s="273">
        <f>REMUNERATION!E287</f>
        <v>8500</v>
      </c>
      <c r="D1060" s="277">
        <f t="shared" si="161"/>
        <v>9000</v>
      </c>
      <c r="E1060" s="277">
        <f t="shared" si="162"/>
        <v>9500</v>
      </c>
    </row>
    <row r="1061" spans="1:5" x14ac:dyDescent="0.2">
      <c r="A1061" s="262" t="s">
        <v>133</v>
      </c>
      <c r="B1061" s="272">
        <v>383622</v>
      </c>
      <c r="C1061" s="273">
        <f>REMUNERATION!G288</f>
        <v>312595.19280000008</v>
      </c>
      <c r="D1061" s="277">
        <f t="shared" si="161"/>
        <v>330700</v>
      </c>
      <c r="E1061" s="277">
        <f t="shared" si="162"/>
        <v>349900</v>
      </c>
    </row>
    <row r="1062" spans="1:5" x14ac:dyDescent="0.2">
      <c r="A1062" s="262" t="s">
        <v>165</v>
      </c>
      <c r="B1062" s="272">
        <v>512640</v>
      </c>
      <c r="C1062" s="273">
        <f>REMUNERATION!K288</f>
        <v>379680</v>
      </c>
      <c r="D1062" s="277">
        <f t="shared" si="161"/>
        <v>401700</v>
      </c>
      <c r="E1062" s="277">
        <f t="shared" si="162"/>
        <v>425000</v>
      </c>
    </row>
    <row r="1063" spans="1:5" x14ac:dyDescent="0.2">
      <c r="A1063" s="262" t="s">
        <v>166</v>
      </c>
      <c r="B1063" s="272">
        <v>7704</v>
      </c>
      <c r="C1063" s="273">
        <f>REMUNERATION!J288</f>
        <v>5778</v>
      </c>
      <c r="D1063" s="277">
        <f t="shared" si="161"/>
        <v>6100</v>
      </c>
      <c r="E1063" s="277">
        <f t="shared" si="162"/>
        <v>6500</v>
      </c>
    </row>
    <row r="1064" spans="1:5" x14ac:dyDescent="0.2">
      <c r="A1064" s="262" t="s">
        <v>167</v>
      </c>
      <c r="B1064" s="272">
        <v>22242</v>
      </c>
      <c r="C1064" s="273">
        <f>REMUNERATION!M288</f>
        <v>19441.7451</v>
      </c>
      <c r="D1064" s="277">
        <f t="shared" si="161"/>
        <v>20600</v>
      </c>
      <c r="E1064" s="277">
        <f t="shared" si="162"/>
        <v>21800</v>
      </c>
    </row>
    <row r="1065" spans="1:5" x14ac:dyDescent="0.2">
      <c r="A1065" s="262" t="s">
        <v>168</v>
      </c>
      <c r="B1065" s="272">
        <v>372</v>
      </c>
      <c r="C1065" s="273">
        <f>REMUNERATION!L288</f>
        <v>279</v>
      </c>
      <c r="D1065" s="277">
        <f t="shared" si="161"/>
        <v>300</v>
      </c>
      <c r="E1065" s="277">
        <f t="shared" si="162"/>
        <v>300</v>
      </c>
    </row>
    <row r="1066" spans="1:5" x14ac:dyDescent="0.2">
      <c r="C1066" s="273"/>
      <c r="D1066" s="277"/>
      <c r="E1066" s="277"/>
    </row>
    <row r="1067" spans="1:5" ht="12" thickBot="1" x14ac:dyDescent="0.25">
      <c r="A1067" s="262" t="s">
        <v>209</v>
      </c>
      <c r="B1067" s="274">
        <f>SUM(B1055:B1066)</f>
        <v>3048343</v>
      </c>
      <c r="C1067" s="275">
        <f>SUM(C1055:C1066)</f>
        <v>2439879.3679</v>
      </c>
      <c r="D1067" s="289">
        <f>SUM(D1055:D1066)</f>
        <v>2581500</v>
      </c>
      <c r="E1067" s="289">
        <f>SUM(E1055:E1066)</f>
        <v>2731300</v>
      </c>
    </row>
    <row r="1068" spans="1:5" ht="12" thickTop="1" x14ac:dyDescent="0.2">
      <c r="A1068" s="283"/>
      <c r="B1068" s="280"/>
      <c r="C1068" s="281"/>
      <c r="D1068" s="280"/>
      <c r="E1068" s="280"/>
    </row>
    <row r="1069" spans="1:5" x14ac:dyDescent="0.2">
      <c r="A1069" s="278" t="s">
        <v>97</v>
      </c>
      <c r="C1069" s="273"/>
      <c r="D1069" s="277"/>
      <c r="E1069" s="277"/>
    </row>
    <row r="1070" spans="1:5" x14ac:dyDescent="0.2">
      <c r="A1070" s="262"/>
      <c r="C1070" s="273"/>
      <c r="D1070" s="277"/>
      <c r="E1070" s="277"/>
    </row>
    <row r="1071" spans="1:5" x14ac:dyDescent="0.2">
      <c r="A1071" s="262" t="s">
        <v>223</v>
      </c>
      <c r="C1071" s="273">
        <f t="shared" ref="C1071" si="163">B1071+B1071*0.07</f>
        <v>0</v>
      </c>
      <c r="D1071" s="277">
        <f t="shared" ref="D1071:D1076" si="164">ROUND(+C1071*(1+D$1),-2)</f>
        <v>0</v>
      </c>
      <c r="E1071" s="277">
        <f t="shared" ref="E1071:E1076" si="165">ROUND(+D1071*(1+E$1),-2)</f>
        <v>0</v>
      </c>
    </row>
    <row r="1072" spans="1:5" x14ac:dyDescent="0.2">
      <c r="A1072" s="262" t="s">
        <v>224</v>
      </c>
      <c r="C1072" s="273">
        <f t="shared" ref="C1072:C1076" si="166">B1072+B1072*0.07</f>
        <v>0</v>
      </c>
      <c r="D1072" s="277">
        <f t="shared" si="164"/>
        <v>0</v>
      </c>
      <c r="E1072" s="277">
        <f t="shared" si="165"/>
        <v>0</v>
      </c>
    </row>
    <row r="1073" spans="1:5" x14ac:dyDescent="0.2">
      <c r="A1073" s="262" t="s">
        <v>225</v>
      </c>
      <c r="C1073" s="273">
        <f t="shared" si="166"/>
        <v>0</v>
      </c>
      <c r="D1073" s="277">
        <f t="shared" si="164"/>
        <v>0</v>
      </c>
      <c r="E1073" s="277">
        <f t="shared" si="165"/>
        <v>0</v>
      </c>
    </row>
    <row r="1074" spans="1:5" x14ac:dyDescent="0.2">
      <c r="A1074" s="262" t="s">
        <v>103</v>
      </c>
      <c r="C1074" s="273">
        <f t="shared" si="166"/>
        <v>0</v>
      </c>
      <c r="D1074" s="277">
        <f t="shared" si="164"/>
        <v>0</v>
      </c>
      <c r="E1074" s="277">
        <f t="shared" si="165"/>
        <v>0</v>
      </c>
    </row>
    <row r="1075" spans="1:5" x14ac:dyDescent="0.2">
      <c r="A1075" s="262" t="s">
        <v>148</v>
      </c>
      <c r="C1075" s="273">
        <f t="shared" si="166"/>
        <v>0</v>
      </c>
      <c r="D1075" s="277">
        <f t="shared" si="164"/>
        <v>0</v>
      </c>
      <c r="E1075" s="277">
        <f t="shared" si="165"/>
        <v>0</v>
      </c>
    </row>
    <row r="1076" spans="1:5" x14ac:dyDescent="0.2">
      <c r="A1076" s="262" t="s">
        <v>153</v>
      </c>
      <c r="C1076" s="273">
        <f t="shared" si="166"/>
        <v>0</v>
      </c>
      <c r="D1076" s="277">
        <f t="shared" si="164"/>
        <v>0</v>
      </c>
      <c r="E1076" s="277">
        <f t="shared" si="165"/>
        <v>0</v>
      </c>
    </row>
    <row r="1077" spans="1:5" ht="12" thickBot="1" x14ac:dyDescent="0.25">
      <c r="A1077" s="262"/>
      <c r="B1077" s="276">
        <f>SUM(B1071:B1076)</f>
        <v>0</v>
      </c>
      <c r="C1077" s="275">
        <f>SUM(C1071:C1076)</f>
        <v>0</v>
      </c>
      <c r="D1077" s="289">
        <f>SUM(D1071:D1076)</f>
        <v>0</v>
      </c>
      <c r="E1077" s="289">
        <f>SUM(E1071:E1076)</f>
        <v>0</v>
      </c>
    </row>
    <row r="1078" spans="1:5" ht="12" thickTop="1" x14ac:dyDescent="0.2">
      <c r="A1078" s="270" t="s">
        <v>203</v>
      </c>
      <c r="C1078" s="273"/>
      <c r="D1078" s="277"/>
      <c r="E1078" s="277"/>
    </row>
    <row r="1079" spans="1:5" x14ac:dyDescent="0.2">
      <c r="A1079" s="270"/>
      <c r="C1079" s="273"/>
      <c r="D1079" s="277"/>
      <c r="E1079" s="277"/>
    </row>
    <row r="1080" spans="1:5" x14ac:dyDescent="0.2">
      <c r="A1080" s="262" t="s">
        <v>141</v>
      </c>
      <c r="B1080" s="272">
        <v>0</v>
      </c>
      <c r="C1080" s="273">
        <v>0</v>
      </c>
      <c r="D1080" s="277">
        <f t="shared" ref="D1080:D1085" si="167">ROUND(+C1080*(1+D$1),-2)</f>
        <v>0</v>
      </c>
      <c r="E1080" s="277">
        <f t="shared" ref="E1080" si="168">ROUND(+D1080*(1+E$1),-2)</f>
        <v>0</v>
      </c>
    </row>
    <row r="1081" spans="1:5" x14ac:dyDescent="0.2">
      <c r="A1081" s="262" t="s">
        <v>158</v>
      </c>
      <c r="B1081" s="272">
        <v>0</v>
      </c>
      <c r="C1081" s="273">
        <v>0</v>
      </c>
      <c r="D1081" s="277">
        <f t="shared" si="167"/>
        <v>0</v>
      </c>
      <c r="E1081" s="277">
        <f t="shared" ref="E1081:E1085" si="169">ROUND(+D1081*(1+E$1),-2)</f>
        <v>0</v>
      </c>
    </row>
    <row r="1082" spans="1:5" x14ac:dyDescent="0.2">
      <c r="A1082" s="262" t="s">
        <v>159</v>
      </c>
      <c r="B1082" s="272">
        <v>0</v>
      </c>
      <c r="C1082" s="273">
        <v>0</v>
      </c>
      <c r="D1082" s="277">
        <f t="shared" si="167"/>
        <v>0</v>
      </c>
      <c r="E1082" s="277">
        <f t="shared" si="169"/>
        <v>0</v>
      </c>
    </row>
    <row r="1083" spans="1:5" x14ac:dyDescent="0.2">
      <c r="A1083" s="262" t="s">
        <v>265</v>
      </c>
      <c r="B1083" s="272">
        <v>0</v>
      </c>
      <c r="C1083" s="273">
        <f t="shared" ref="C1083" si="170">B1083+B1083*0.06</f>
        <v>0</v>
      </c>
      <c r="D1083" s="277">
        <f t="shared" si="167"/>
        <v>0</v>
      </c>
      <c r="E1083" s="277">
        <f t="shared" si="169"/>
        <v>0</v>
      </c>
    </row>
    <row r="1084" spans="1:5" x14ac:dyDescent="0.2">
      <c r="A1084" s="262" t="s">
        <v>155</v>
      </c>
      <c r="B1084" s="272">
        <v>118645</v>
      </c>
      <c r="C1084" s="273">
        <v>130000</v>
      </c>
      <c r="D1084" s="277">
        <v>137800</v>
      </c>
      <c r="E1084" s="277">
        <v>145600</v>
      </c>
    </row>
    <row r="1085" spans="1:5" x14ac:dyDescent="0.2">
      <c r="A1085" s="262" t="s">
        <v>318</v>
      </c>
      <c r="B1085" s="272">
        <v>1000000</v>
      </c>
      <c r="C1085" s="273">
        <v>2000000</v>
      </c>
      <c r="D1085" s="277">
        <f t="shared" si="167"/>
        <v>2116000</v>
      </c>
      <c r="E1085" s="277">
        <f t="shared" si="169"/>
        <v>2238700</v>
      </c>
    </row>
    <row r="1086" spans="1:5" ht="12" thickBot="1" x14ac:dyDescent="0.25">
      <c r="A1086" s="262" t="s">
        <v>210</v>
      </c>
      <c r="B1086" s="274">
        <f>SUM(B1080:B1085)</f>
        <v>1118645</v>
      </c>
      <c r="C1086" s="275">
        <f>SUM(C1080:C1085)</f>
        <v>2130000</v>
      </c>
      <c r="D1086" s="289">
        <f>SUM(D1080:D1085)</f>
        <v>2253800</v>
      </c>
      <c r="E1086" s="289">
        <f>SUM(E1080:E1085)</f>
        <v>2384300</v>
      </c>
    </row>
    <row r="1087" spans="1:5" ht="12" thickTop="1" x14ac:dyDescent="0.2">
      <c r="A1087" s="283"/>
      <c r="B1087" s="280"/>
      <c r="C1087" s="281"/>
      <c r="D1087" s="280"/>
      <c r="E1087" s="280"/>
    </row>
    <row r="1088" spans="1:5" x14ac:dyDescent="0.2">
      <c r="A1088" s="270" t="s">
        <v>211</v>
      </c>
      <c r="C1088" s="273"/>
      <c r="D1088" s="277"/>
      <c r="E1088" s="277"/>
    </row>
    <row r="1089" spans="1:5" x14ac:dyDescent="0.2">
      <c r="A1089" s="262"/>
      <c r="C1089" s="273"/>
      <c r="D1089" s="277"/>
      <c r="E1089" s="277"/>
    </row>
    <row r="1090" spans="1:5" x14ac:dyDescent="0.2">
      <c r="A1090" s="262" t="s">
        <v>244</v>
      </c>
      <c r="B1090" s="272">
        <v>0</v>
      </c>
      <c r="C1090" s="273">
        <v>0</v>
      </c>
      <c r="D1090" s="277">
        <f t="shared" ref="D1090:D1091" si="171">ROUND(+C1090*(1+D$1),-2)</f>
        <v>0</v>
      </c>
      <c r="E1090" s="277">
        <f t="shared" ref="E1090:E1091" si="172">ROUND(+D1090*(1+E$1),-2)</f>
        <v>0</v>
      </c>
    </row>
    <row r="1091" spans="1:5" x14ac:dyDescent="0.2">
      <c r="A1091" s="262" t="s">
        <v>245</v>
      </c>
      <c r="B1091" s="272">
        <v>0</v>
      </c>
      <c r="C1091" s="273">
        <v>0</v>
      </c>
      <c r="D1091" s="277">
        <f t="shared" si="171"/>
        <v>0</v>
      </c>
      <c r="E1091" s="277">
        <f t="shared" si="172"/>
        <v>0</v>
      </c>
    </row>
    <row r="1092" spans="1:5" x14ac:dyDescent="0.2">
      <c r="B1092" s="272"/>
      <c r="C1092" s="273"/>
      <c r="D1092" s="277"/>
      <c r="E1092" s="277"/>
    </row>
    <row r="1093" spans="1:5" ht="12" thickBot="1" x14ac:dyDescent="0.25">
      <c r="A1093" s="262" t="s">
        <v>212</v>
      </c>
      <c r="B1093" s="274">
        <f>SUM(B1090:B1092)</f>
        <v>0</v>
      </c>
      <c r="C1093" s="275">
        <f>SUM(C1090:C1092)</f>
        <v>0</v>
      </c>
      <c r="D1093" s="289">
        <f>SUM(D1090:D1092)</f>
        <v>0</v>
      </c>
      <c r="E1093" s="289">
        <f>SUM(E1090:E1092)</f>
        <v>0</v>
      </c>
    </row>
    <row r="1094" spans="1:5" ht="12" thickTop="1" x14ac:dyDescent="0.2">
      <c r="A1094" s="262"/>
      <c r="B1094" s="280"/>
      <c r="C1094" s="281"/>
      <c r="D1094" s="296"/>
      <c r="E1094" s="296"/>
    </row>
    <row r="1095" spans="1:5" x14ac:dyDescent="0.2">
      <c r="A1095" s="270" t="s">
        <v>213</v>
      </c>
      <c r="C1095" s="273"/>
      <c r="D1095" s="277"/>
      <c r="E1095" s="277"/>
    </row>
    <row r="1096" spans="1:5" x14ac:dyDescent="0.2">
      <c r="A1096" s="262"/>
      <c r="C1096" s="273"/>
      <c r="D1096" s="277"/>
      <c r="E1096" s="277"/>
    </row>
    <row r="1097" spans="1:5" ht="12" thickBot="1" x14ac:dyDescent="0.25">
      <c r="A1097" s="262" t="s">
        <v>214</v>
      </c>
      <c r="B1097" s="276">
        <f>B1108</f>
        <v>0</v>
      </c>
      <c r="C1097" s="275">
        <f>C1108</f>
        <v>0</v>
      </c>
      <c r="D1097" s="289">
        <f>D1108</f>
        <v>0</v>
      </c>
      <c r="E1097" s="289">
        <f>E1108</f>
        <v>0</v>
      </c>
    </row>
    <row r="1098" spans="1:5" ht="12" thickTop="1" x14ac:dyDescent="0.2">
      <c r="C1098" s="273"/>
      <c r="D1098" s="277"/>
      <c r="E1098" s="277"/>
    </row>
    <row r="1099" spans="1:5" ht="12" thickBot="1" x14ac:dyDescent="0.25">
      <c r="A1099" s="262" t="s">
        <v>121</v>
      </c>
      <c r="B1099" s="274">
        <f>B1097+B1093+B1086+B1067+B1077</f>
        <v>4166988</v>
      </c>
      <c r="C1099" s="275">
        <f>C1097+C1093+C1086+C1067+C1077</f>
        <v>4569879.3679</v>
      </c>
      <c r="D1099" s="276">
        <f>D1097+D1093+D1086+D1067+D1077</f>
        <v>4835300</v>
      </c>
      <c r="E1099" s="276">
        <f>E1097+E1093+E1086+E1067+E1077</f>
        <v>5115600</v>
      </c>
    </row>
    <row r="1100" spans="1:5" ht="12" thickTop="1" x14ac:dyDescent="0.2">
      <c r="C1100" s="273"/>
      <c r="D1100" s="277"/>
      <c r="E1100" s="277"/>
    </row>
    <row r="1101" spans="1:5" x14ac:dyDescent="0.2">
      <c r="A1101" s="270" t="s">
        <v>213</v>
      </c>
      <c r="C1101" s="273"/>
      <c r="D1101" s="277"/>
      <c r="E1101" s="277"/>
    </row>
    <row r="1102" spans="1:5" x14ac:dyDescent="0.2">
      <c r="A1102" s="262"/>
      <c r="C1102" s="273"/>
      <c r="D1102" s="277"/>
      <c r="E1102" s="277"/>
    </row>
    <row r="1103" spans="1:5" x14ac:dyDescent="0.2">
      <c r="A1103" s="262" t="s">
        <v>250</v>
      </c>
      <c r="C1103" s="273">
        <f t="shared" ref="C1103:C1106" si="173">B1103+B1103*0.06</f>
        <v>0</v>
      </c>
      <c r="D1103" s="277">
        <f t="shared" ref="D1103:D1106" si="174">ROUND(+C1103*(1+D$1),-2)</f>
        <v>0</v>
      </c>
      <c r="E1103" s="277">
        <f>ROUND(+D1103*(1+E$1),-2)</f>
        <v>0</v>
      </c>
    </row>
    <row r="1104" spans="1:5" x14ac:dyDescent="0.2">
      <c r="A1104" s="262" t="s">
        <v>251</v>
      </c>
      <c r="C1104" s="273">
        <f t="shared" si="173"/>
        <v>0</v>
      </c>
      <c r="D1104" s="277">
        <f t="shared" si="174"/>
        <v>0</v>
      </c>
      <c r="E1104" s="277">
        <v>0</v>
      </c>
    </row>
    <row r="1105" spans="1:6" x14ac:dyDescent="0.2">
      <c r="A1105" s="262" t="s">
        <v>253</v>
      </c>
      <c r="C1105" s="273">
        <f t="shared" si="173"/>
        <v>0</v>
      </c>
      <c r="D1105" s="277">
        <f t="shared" si="174"/>
        <v>0</v>
      </c>
      <c r="E1105" s="277">
        <f>ROUND(+D1105*(1+E$1),-2)</f>
        <v>0</v>
      </c>
    </row>
    <row r="1106" spans="1:6" x14ac:dyDescent="0.2">
      <c r="A1106" s="262" t="s">
        <v>252</v>
      </c>
      <c r="C1106" s="273">
        <f t="shared" si="173"/>
        <v>0</v>
      </c>
      <c r="D1106" s="277">
        <f t="shared" si="174"/>
        <v>0</v>
      </c>
      <c r="E1106" s="277">
        <v>0</v>
      </c>
    </row>
    <row r="1107" spans="1:6" x14ac:dyDescent="0.2">
      <c r="C1107" s="273"/>
      <c r="D1107" s="277"/>
      <c r="E1107" s="277"/>
    </row>
    <row r="1108" spans="1:6" ht="12" thickBot="1" x14ac:dyDescent="0.25">
      <c r="A1108" s="262" t="s">
        <v>129</v>
      </c>
      <c r="B1108" s="276">
        <f>SUM(B1103:B1106)</f>
        <v>0</v>
      </c>
      <c r="C1108" s="275">
        <f>SUM(C1103:C1106)</f>
        <v>0</v>
      </c>
      <c r="D1108" s="289">
        <f>SUM(D1103:D1106)</f>
        <v>0</v>
      </c>
      <c r="E1108" s="289">
        <f>SUM(E1103:E1106)</f>
        <v>0</v>
      </c>
    </row>
    <row r="1109" spans="1:6" ht="12" thickTop="1" x14ac:dyDescent="0.2">
      <c r="A1109" s="262"/>
      <c r="B1109" s="280"/>
      <c r="C1109" s="281"/>
      <c r="D1109" s="296"/>
      <c r="E1109" s="296"/>
    </row>
    <row r="1110" spans="1:6" x14ac:dyDescent="0.2">
      <c r="A1110" s="262"/>
      <c r="B1110" s="314" t="s">
        <v>522</v>
      </c>
      <c r="C1110" s="330" t="s">
        <v>522</v>
      </c>
      <c r="D1110" s="296"/>
      <c r="E1110" s="296"/>
    </row>
    <row r="1111" spans="1:6" x14ac:dyDescent="0.2">
      <c r="A1111" s="262"/>
      <c r="B1111" s="263" t="s">
        <v>207</v>
      </c>
      <c r="C1111" s="261" t="s">
        <v>207</v>
      </c>
      <c r="D1111" s="264" t="s">
        <v>207</v>
      </c>
      <c r="E1111" s="264" t="s">
        <v>207</v>
      </c>
    </row>
    <row r="1112" spans="1:6" x14ac:dyDescent="0.2">
      <c r="A1112" s="262"/>
      <c r="B1112" s="315" t="str">
        <f>B9</f>
        <v>2016/2017</v>
      </c>
      <c r="C1112" s="266" t="str">
        <f>C9</f>
        <v>2017/2018</v>
      </c>
      <c r="D1112" s="267" t="str">
        <f>D9</f>
        <v>2018/2019</v>
      </c>
      <c r="E1112" s="267" t="str">
        <f>E9</f>
        <v>2019/2020</v>
      </c>
    </row>
    <row r="1113" spans="1:6" x14ac:dyDescent="0.2">
      <c r="A1113" s="262"/>
      <c r="B1113" s="280"/>
      <c r="C1113" s="281"/>
      <c r="D1113" s="296"/>
      <c r="E1113" s="296"/>
    </row>
    <row r="1114" spans="1:6" s="320" customFormat="1" ht="15.75" x14ac:dyDescent="0.25">
      <c r="A1114" s="269" t="s">
        <v>221</v>
      </c>
      <c r="B1114" s="316"/>
      <c r="C1114" s="317"/>
      <c r="D1114" s="318"/>
      <c r="E1114" s="318"/>
      <c r="F1114" s="319"/>
    </row>
    <row r="1115" spans="1:6" s="320" customFormat="1" ht="15.75" x14ac:dyDescent="0.25">
      <c r="A1115" s="269"/>
      <c r="B1115" s="316"/>
      <c r="C1115" s="317"/>
      <c r="D1115" s="318"/>
      <c r="E1115" s="318"/>
      <c r="F1115" s="319"/>
    </row>
    <row r="1116" spans="1:6" x14ac:dyDescent="0.2">
      <c r="A1116" s="270" t="s">
        <v>208</v>
      </c>
      <c r="C1116" s="273"/>
      <c r="D1116" s="277"/>
      <c r="E1116" s="277"/>
    </row>
    <row r="1117" spans="1:6" x14ac:dyDescent="0.2">
      <c r="A1117" s="262"/>
      <c r="B1117" s="280"/>
      <c r="C1117" s="281"/>
      <c r="D1117" s="296"/>
      <c r="E1117" s="296"/>
    </row>
    <row r="1118" spans="1:6" x14ac:dyDescent="0.2">
      <c r="A1118" s="262" t="s">
        <v>161</v>
      </c>
      <c r="B1118" s="272">
        <v>12223723</v>
      </c>
      <c r="C1118" s="273">
        <f>REMUNERATION!F328</f>
        <v>10154385.600000003</v>
      </c>
      <c r="D1118" s="277">
        <f t="shared" ref="D1118:D1130" si="175">ROUND(+C1118*(1+D$1),-2)</f>
        <v>10743300</v>
      </c>
      <c r="E1118" s="277">
        <f t="shared" ref="E1118:E1121" si="176">ROUND(+D1118*(1+E$1),-2)</f>
        <v>11366400</v>
      </c>
    </row>
    <row r="1119" spans="1:6" x14ac:dyDescent="0.2">
      <c r="A1119" s="262" t="s">
        <v>195</v>
      </c>
      <c r="B1119" s="272">
        <v>1054304</v>
      </c>
      <c r="C1119" s="273">
        <f>REMUNERATION!N328</f>
        <v>876777.00320000027</v>
      </c>
      <c r="D1119" s="277">
        <f t="shared" si="175"/>
        <v>927600</v>
      </c>
      <c r="E1119" s="277">
        <f t="shared" si="176"/>
        <v>981400</v>
      </c>
    </row>
    <row r="1120" spans="1:6" x14ac:dyDescent="0.2">
      <c r="A1120" s="262" t="s">
        <v>157</v>
      </c>
      <c r="B1120" s="272">
        <v>250000</v>
      </c>
      <c r="C1120" s="273">
        <f>REMUNERATION!O328</f>
        <v>350000</v>
      </c>
      <c r="D1120" s="277">
        <f t="shared" si="175"/>
        <v>370300</v>
      </c>
      <c r="E1120" s="277">
        <f t="shared" si="176"/>
        <v>391800</v>
      </c>
    </row>
    <row r="1121" spans="1:5" x14ac:dyDescent="0.2">
      <c r="A1121" s="262" t="s">
        <v>162</v>
      </c>
      <c r="B1121" s="272">
        <v>210000</v>
      </c>
      <c r="C1121" s="273">
        <f>REMUNERATION!I328</f>
        <v>159600</v>
      </c>
      <c r="D1121" s="277">
        <f t="shared" si="175"/>
        <v>168900</v>
      </c>
      <c r="E1121" s="277">
        <f t="shared" si="176"/>
        <v>178700</v>
      </c>
    </row>
    <row r="1122" spans="1:5" x14ac:dyDescent="0.2">
      <c r="A1122" s="262" t="s">
        <v>163</v>
      </c>
      <c r="B1122" s="272">
        <v>1147100</v>
      </c>
      <c r="C1122" s="273">
        <f>REMUNERATION!H328</f>
        <v>994072.80000000016</v>
      </c>
      <c r="D1122" s="277">
        <f t="shared" si="175"/>
        <v>1051700</v>
      </c>
      <c r="E1122" s="277">
        <f t="shared" ref="E1122:E1128" si="177">ROUND(+D1122*(1+E$1),-2)</f>
        <v>1112700</v>
      </c>
    </row>
    <row r="1123" spans="1:5" x14ac:dyDescent="0.2">
      <c r="A1123" s="262" t="s">
        <v>164</v>
      </c>
      <c r="B1123" s="272">
        <v>55876</v>
      </c>
      <c r="C1123" s="273">
        <f>REMUNERATION!E325</f>
        <v>55876</v>
      </c>
      <c r="D1123" s="277">
        <f t="shared" si="175"/>
        <v>59100</v>
      </c>
      <c r="E1123" s="277">
        <f t="shared" si="177"/>
        <v>62500</v>
      </c>
    </row>
    <row r="1124" spans="1:5" x14ac:dyDescent="0.2">
      <c r="A1124" s="262" t="s">
        <v>275</v>
      </c>
      <c r="B1124" s="272">
        <v>0</v>
      </c>
      <c r="C1124" s="273">
        <v>0</v>
      </c>
      <c r="D1124" s="277">
        <f t="shared" si="175"/>
        <v>0</v>
      </c>
      <c r="E1124" s="277">
        <f t="shared" ref="E1124" si="178">ROUND(+D1124*(1+E$1),-2)</f>
        <v>0</v>
      </c>
    </row>
    <row r="1125" spans="1:5" x14ac:dyDescent="0.2">
      <c r="A1125" s="262" t="s">
        <v>4</v>
      </c>
      <c r="B1125" s="272">
        <v>0</v>
      </c>
      <c r="C1125" s="273">
        <v>0</v>
      </c>
      <c r="D1125" s="277">
        <f t="shared" si="175"/>
        <v>0</v>
      </c>
      <c r="E1125" s="277">
        <f t="shared" ref="E1125" si="179">ROUND(+D1125*(1+E$1),-2)</f>
        <v>0</v>
      </c>
    </row>
    <row r="1126" spans="1:5" x14ac:dyDescent="0.2">
      <c r="A1126" s="262" t="s">
        <v>133</v>
      </c>
      <c r="B1126" s="272">
        <v>2442232</v>
      </c>
      <c r="C1126" s="273">
        <f>REMUNERATION!G328</f>
        <v>2005048.6134000004</v>
      </c>
      <c r="D1126" s="277">
        <f t="shared" si="175"/>
        <v>2121300</v>
      </c>
      <c r="E1126" s="277">
        <f t="shared" si="177"/>
        <v>2244300</v>
      </c>
    </row>
    <row r="1127" spans="1:5" x14ac:dyDescent="0.2">
      <c r="A1127" s="262" t="s">
        <v>165</v>
      </c>
      <c r="B1127" s="272">
        <v>3131280</v>
      </c>
      <c r="C1127" s="273">
        <f>REMUNERATION!K328</f>
        <v>2270400</v>
      </c>
      <c r="D1127" s="277">
        <f t="shared" si="175"/>
        <v>2402100</v>
      </c>
      <c r="E1127" s="277">
        <f t="shared" si="177"/>
        <v>2541400</v>
      </c>
    </row>
    <row r="1128" spans="1:5" x14ac:dyDescent="0.2">
      <c r="A1128" s="262" t="s">
        <v>166</v>
      </c>
      <c r="B1128" s="272">
        <v>50076</v>
      </c>
      <c r="C1128" s="273">
        <f>REMUNERATION!J328</f>
        <v>38520</v>
      </c>
      <c r="D1128" s="277">
        <f t="shared" si="175"/>
        <v>40800</v>
      </c>
      <c r="E1128" s="277">
        <f t="shared" si="177"/>
        <v>43200</v>
      </c>
    </row>
    <row r="1129" spans="1:5" x14ac:dyDescent="0.2">
      <c r="A1129" s="262" t="s">
        <v>167</v>
      </c>
      <c r="B1129" s="272">
        <v>131025</v>
      </c>
      <c r="C1129" s="273">
        <f>REMUNERATION!M328</f>
        <v>106651.96910000003</v>
      </c>
      <c r="D1129" s="277">
        <v>144500</v>
      </c>
      <c r="E1129" s="277">
        <v>152500</v>
      </c>
    </row>
    <row r="1130" spans="1:5" x14ac:dyDescent="0.2">
      <c r="A1130" s="262" t="s">
        <v>168</v>
      </c>
      <c r="B1130" s="272">
        <v>2418</v>
      </c>
      <c r="C1130" s="273">
        <f>REMUNERATION!L328</f>
        <v>1860</v>
      </c>
      <c r="D1130" s="277">
        <f t="shared" si="175"/>
        <v>2000</v>
      </c>
      <c r="E1130" s="277">
        <f>ROUND(+D1130*(1+E$1),-2)</f>
        <v>2100</v>
      </c>
    </row>
    <row r="1131" spans="1:5" x14ac:dyDescent="0.2">
      <c r="B1131" s="280"/>
      <c r="C1131" s="281"/>
      <c r="D1131" s="296"/>
      <c r="E1131" s="296"/>
    </row>
    <row r="1132" spans="1:5" ht="12" thickBot="1" x14ac:dyDescent="0.25">
      <c r="A1132" s="262" t="s">
        <v>209</v>
      </c>
      <c r="B1132" s="274">
        <f>SUM(B1118:B1131)</f>
        <v>20698034</v>
      </c>
      <c r="C1132" s="275">
        <f t="shared" ref="C1132:D1132" si="180">SUM(C1118:C1131)</f>
        <v>17013191.985700004</v>
      </c>
      <c r="D1132" s="274">
        <f t="shared" si="180"/>
        <v>18031600</v>
      </c>
      <c r="E1132" s="274">
        <f t="shared" ref="E1132" si="181">SUM(E1118:E1131)</f>
        <v>19077000</v>
      </c>
    </row>
    <row r="1133" spans="1:5" ht="12" thickTop="1" x14ac:dyDescent="0.2">
      <c r="A1133" s="262"/>
      <c r="B1133" s="280"/>
      <c r="C1133" s="281"/>
      <c r="D1133" s="296"/>
      <c r="E1133" s="296"/>
    </row>
    <row r="1134" spans="1:5" x14ac:dyDescent="0.2">
      <c r="A1134" s="270" t="s">
        <v>203</v>
      </c>
      <c r="B1134" s="280"/>
      <c r="C1134" s="281"/>
      <c r="D1134" s="296"/>
      <c r="E1134" s="296"/>
    </row>
    <row r="1135" spans="1:5" x14ac:dyDescent="0.2">
      <c r="A1135" s="270"/>
      <c r="B1135" s="280"/>
      <c r="C1135" s="281"/>
      <c r="D1135" s="296"/>
      <c r="E1135" s="296"/>
    </row>
    <row r="1136" spans="1:5" x14ac:dyDescent="0.2">
      <c r="A1136" s="248" t="s">
        <v>101</v>
      </c>
      <c r="B1136" s="272">
        <v>70000</v>
      </c>
      <c r="C1136" s="273">
        <v>70000</v>
      </c>
      <c r="D1136" s="277">
        <f t="shared" ref="D1136:D1151" si="182">ROUND(+C1136*(1+D$1),-2)</f>
        <v>74100</v>
      </c>
      <c r="E1136" s="277">
        <f t="shared" ref="E1136:E1141" si="183">ROUND(+D1136*(1+E$1),-2)</f>
        <v>78400</v>
      </c>
    </row>
    <row r="1137" spans="1:5" x14ac:dyDescent="0.2">
      <c r="A1137" s="248" t="s">
        <v>383</v>
      </c>
      <c r="B1137" s="272">
        <v>1100000</v>
      </c>
      <c r="C1137" s="273">
        <v>1210000</v>
      </c>
      <c r="D1137" s="277">
        <f t="shared" si="182"/>
        <v>1280200</v>
      </c>
      <c r="E1137" s="277">
        <f t="shared" si="183"/>
        <v>1354500</v>
      </c>
    </row>
    <row r="1138" spans="1:5" x14ac:dyDescent="0.2">
      <c r="A1138" s="248" t="s">
        <v>141</v>
      </c>
      <c r="B1138" s="272">
        <v>0</v>
      </c>
      <c r="C1138" s="273">
        <v>0</v>
      </c>
      <c r="D1138" s="277">
        <f t="shared" si="182"/>
        <v>0</v>
      </c>
      <c r="E1138" s="277">
        <f t="shared" si="183"/>
        <v>0</v>
      </c>
    </row>
    <row r="1139" spans="1:5" x14ac:dyDescent="0.2">
      <c r="A1139" s="262" t="s">
        <v>106</v>
      </c>
      <c r="B1139" s="272">
        <v>150000</v>
      </c>
      <c r="C1139" s="273">
        <v>150000</v>
      </c>
      <c r="D1139" s="277">
        <f t="shared" si="182"/>
        <v>158700</v>
      </c>
      <c r="E1139" s="277">
        <f t="shared" si="183"/>
        <v>167900</v>
      </c>
    </row>
    <row r="1140" spans="1:5" x14ac:dyDescent="0.2">
      <c r="A1140" s="262" t="s">
        <v>382</v>
      </c>
      <c r="B1140" s="272">
        <v>300000</v>
      </c>
      <c r="C1140" s="273">
        <v>300000</v>
      </c>
      <c r="D1140" s="277">
        <f t="shared" si="182"/>
        <v>317400</v>
      </c>
      <c r="E1140" s="277">
        <f t="shared" si="183"/>
        <v>335800</v>
      </c>
    </row>
    <row r="1141" spans="1:5" x14ac:dyDescent="0.2">
      <c r="A1141" s="262" t="s">
        <v>257</v>
      </c>
      <c r="B1141" s="272">
        <v>300000</v>
      </c>
      <c r="C1141" s="273">
        <v>300000</v>
      </c>
      <c r="D1141" s="277">
        <f t="shared" si="182"/>
        <v>317400</v>
      </c>
      <c r="E1141" s="277">
        <f t="shared" si="183"/>
        <v>335800</v>
      </c>
    </row>
    <row r="1142" spans="1:5" x14ac:dyDescent="0.2">
      <c r="A1142" s="262" t="s">
        <v>158</v>
      </c>
      <c r="B1142" s="272">
        <v>0</v>
      </c>
      <c r="C1142" s="273">
        <v>0</v>
      </c>
      <c r="D1142" s="277">
        <f t="shared" si="182"/>
        <v>0</v>
      </c>
      <c r="E1142" s="277">
        <f t="shared" ref="E1142:E1151" si="184">ROUND(+D1142*(1+E$1),-2)</f>
        <v>0</v>
      </c>
    </row>
    <row r="1143" spans="1:5" x14ac:dyDescent="0.2">
      <c r="A1143" s="262" t="s">
        <v>314</v>
      </c>
      <c r="B1143" s="272">
        <v>420000</v>
      </c>
      <c r="C1143" s="273">
        <v>420000</v>
      </c>
      <c r="D1143" s="277">
        <f t="shared" si="182"/>
        <v>444400</v>
      </c>
      <c r="E1143" s="277">
        <f t="shared" si="184"/>
        <v>470200</v>
      </c>
    </row>
    <row r="1144" spans="1:5" x14ac:dyDescent="0.2">
      <c r="A1144" s="262" t="s">
        <v>159</v>
      </c>
      <c r="B1144" s="272">
        <v>255502</v>
      </c>
      <c r="C1144" s="273">
        <v>255502</v>
      </c>
      <c r="D1144" s="277">
        <f t="shared" si="182"/>
        <v>270300</v>
      </c>
      <c r="E1144" s="277">
        <f t="shared" si="184"/>
        <v>286000</v>
      </c>
    </row>
    <row r="1145" spans="1:5" x14ac:dyDescent="0.2">
      <c r="A1145" s="262" t="s">
        <v>265</v>
      </c>
      <c r="B1145" s="272">
        <v>0</v>
      </c>
      <c r="C1145" s="273">
        <v>0</v>
      </c>
      <c r="D1145" s="277">
        <f t="shared" si="182"/>
        <v>0</v>
      </c>
      <c r="E1145" s="277">
        <f t="shared" si="184"/>
        <v>0</v>
      </c>
    </row>
    <row r="1146" spans="1:5" x14ac:dyDescent="0.2">
      <c r="A1146" s="262" t="s">
        <v>155</v>
      </c>
      <c r="B1146" s="272">
        <v>700000</v>
      </c>
      <c r="C1146" s="273">
        <v>800000</v>
      </c>
      <c r="D1146" s="277">
        <v>848400</v>
      </c>
      <c r="E1146" s="277">
        <v>896400</v>
      </c>
    </row>
    <row r="1147" spans="1:5" x14ac:dyDescent="0.2">
      <c r="A1147" s="262" t="s">
        <v>276</v>
      </c>
      <c r="B1147" s="272">
        <v>0</v>
      </c>
      <c r="C1147" s="273">
        <v>250000</v>
      </c>
      <c r="D1147" s="277">
        <f t="shared" si="182"/>
        <v>264500</v>
      </c>
      <c r="E1147" s="277">
        <f t="shared" si="184"/>
        <v>279800</v>
      </c>
    </row>
    <row r="1148" spans="1:5" x14ac:dyDescent="0.2">
      <c r="A1148" s="262" t="s">
        <v>384</v>
      </c>
      <c r="B1148" s="272">
        <v>0</v>
      </c>
      <c r="C1148" s="273">
        <v>0</v>
      </c>
      <c r="D1148" s="277">
        <f t="shared" si="182"/>
        <v>0</v>
      </c>
      <c r="E1148" s="277">
        <f t="shared" si="184"/>
        <v>0</v>
      </c>
    </row>
    <row r="1149" spans="1:5" x14ac:dyDescent="0.2">
      <c r="A1149" s="310" t="s">
        <v>305</v>
      </c>
      <c r="B1149" s="272">
        <v>0</v>
      </c>
      <c r="C1149" s="273">
        <v>0</v>
      </c>
      <c r="D1149" s="277">
        <f t="shared" si="182"/>
        <v>0</v>
      </c>
      <c r="E1149" s="277">
        <f t="shared" si="184"/>
        <v>0</v>
      </c>
    </row>
    <row r="1150" spans="1:5" x14ac:dyDescent="0.2">
      <c r="A1150" s="310" t="s">
        <v>306</v>
      </c>
      <c r="B1150" s="272">
        <v>0</v>
      </c>
      <c r="C1150" s="273">
        <v>0</v>
      </c>
      <c r="D1150" s="277">
        <f t="shared" si="182"/>
        <v>0</v>
      </c>
      <c r="E1150" s="277">
        <f t="shared" si="184"/>
        <v>0</v>
      </c>
    </row>
    <row r="1151" spans="1:5" x14ac:dyDescent="0.2">
      <c r="A1151" s="262" t="s">
        <v>277</v>
      </c>
      <c r="B1151" s="272">
        <v>11719</v>
      </c>
      <c r="C1151" s="273">
        <v>12000</v>
      </c>
      <c r="D1151" s="277">
        <f t="shared" si="182"/>
        <v>12700</v>
      </c>
      <c r="E1151" s="277">
        <f t="shared" si="184"/>
        <v>13400</v>
      </c>
    </row>
    <row r="1152" spans="1:5" ht="12" thickBot="1" x14ac:dyDescent="0.25">
      <c r="A1152" s="262" t="s">
        <v>210</v>
      </c>
      <c r="B1152" s="274">
        <f>SUM(B1136:B1151)</f>
        <v>3307221</v>
      </c>
      <c r="C1152" s="275">
        <f>SUM(C1136:C1151)</f>
        <v>3767502</v>
      </c>
      <c r="D1152" s="289">
        <f>SUM(D1136:D1151)</f>
        <v>3988100</v>
      </c>
      <c r="E1152" s="289">
        <f>SUM(E1136:E1151)</f>
        <v>4218200</v>
      </c>
    </row>
    <row r="1153" spans="1:5" ht="12" thickTop="1" x14ac:dyDescent="0.2">
      <c r="A1153" s="262"/>
      <c r="B1153" s="280"/>
      <c r="C1153" s="281"/>
      <c r="D1153" s="296"/>
      <c r="E1153" s="296"/>
    </row>
    <row r="1154" spans="1:5" x14ac:dyDescent="0.2">
      <c r="A1154" s="270" t="s">
        <v>211</v>
      </c>
      <c r="B1154" s="280"/>
      <c r="C1154" s="281"/>
      <c r="D1154" s="296"/>
      <c r="E1154" s="296"/>
    </row>
    <row r="1155" spans="1:5" x14ac:dyDescent="0.2">
      <c r="A1155" s="262"/>
      <c r="B1155" s="280"/>
      <c r="C1155" s="281"/>
      <c r="D1155" s="296"/>
      <c r="E1155" s="296"/>
    </row>
    <row r="1156" spans="1:5" x14ac:dyDescent="0.2">
      <c r="A1156" s="262" t="s">
        <v>244</v>
      </c>
      <c r="B1156" s="272">
        <v>0</v>
      </c>
      <c r="C1156" s="273">
        <v>0</v>
      </c>
      <c r="D1156" s="277">
        <f t="shared" ref="D1156:D1157" si="185">ROUND(+C1156*(1+D$1),-2)</f>
        <v>0</v>
      </c>
      <c r="E1156" s="277">
        <f t="shared" ref="E1156:E1158" si="186">ROUND(+D1156*(1+E$1),-2)</f>
        <v>0</v>
      </c>
    </row>
    <row r="1157" spans="1:5" x14ac:dyDescent="0.2">
      <c r="A1157" s="262" t="s">
        <v>245</v>
      </c>
      <c r="B1157" s="272">
        <v>0</v>
      </c>
      <c r="C1157" s="273">
        <v>0</v>
      </c>
      <c r="D1157" s="277">
        <f t="shared" si="185"/>
        <v>0</v>
      </c>
      <c r="E1157" s="277">
        <f t="shared" si="186"/>
        <v>0</v>
      </c>
    </row>
    <row r="1158" spans="1:5" x14ac:dyDescent="0.2">
      <c r="A1158" s="262" t="s">
        <v>247</v>
      </c>
      <c r="C1158" s="273">
        <f t="shared" ref="C1158" si="187">B1158+B1158*0.06</f>
        <v>0</v>
      </c>
      <c r="D1158" s="277">
        <v>0</v>
      </c>
      <c r="E1158" s="277">
        <f t="shared" si="186"/>
        <v>0</v>
      </c>
    </row>
    <row r="1159" spans="1:5" x14ac:dyDescent="0.2">
      <c r="C1159" s="273"/>
      <c r="D1159" s="277"/>
      <c r="E1159" s="277"/>
    </row>
    <row r="1160" spans="1:5" ht="12" thickBot="1" x14ac:dyDescent="0.25">
      <c r="A1160" s="262" t="s">
        <v>212</v>
      </c>
      <c r="B1160" s="274">
        <f>SUM(B1156:B1159)</f>
        <v>0</v>
      </c>
      <c r="C1160" s="275">
        <f>SUM(C1156:C1159)</f>
        <v>0</v>
      </c>
      <c r="D1160" s="289">
        <f>SUM(D1156:D1159)</f>
        <v>0</v>
      </c>
      <c r="E1160" s="289">
        <f>SUM(E1156:E1159)</f>
        <v>0</v>
      </c>
    </row>
    <row r="1161" spans="1:5" ht="12" thickTop="1" x14ac:dyDescent="0.2">
      <c r="A1161" s="262"/>
      <c r="B1161" s="280"/>
      <c r="C1161" s="281"/>
      <c r="D1161" s="296"/>
      <c r="E1161" s="296"/>
    </row>
    <row r="1162" spans="1:5" x14ac:dyDescent="0.2">
      <c r="A1162" s="270"/>
      <c r="B1162" s="280"/>
      <c r="C1162" s="281"/>
      <c r="D1162" s="296"/>
      <c r="E1162" s="296"/>
    </row>
    <row r="1163" spans="1:5" x14ac:dyDescent="0.2">
      <c r="A1163" s="313" t="s">
        <v>213</v>
      </c>
      <c r="C1163" s="273"/>
      <c r="D1163" s="277"/>
      <c r="E1163" s="277"/>
    </row>
    <row r="1164" spans="1:5" x14ac:dyDescent="0.2">
      <c r="A1164" s="287"/>
      <c r="C1164" s="273"/>
      <c r="D1164" s="277"/>
      <c r="E1164" s="277"/>
    </row>
    <row r="1165" spans="1:5" ht="12" thickBot="1" x14ac:dyDescent="0.25">
      <c r="A1165" s="283" t="s">
        <v>214</v>
      </c>
      <c r="B1165" s="274">
        <f>B1175</f>
        <v>0</v>
      </c>
      <c r="C1165" s="275">
        <f>C1175</f>
        <v>0</v>
      </c>
      <c r="D1165" s="276">
        <f>D1175</f>
        <v>0</v>
      </c>
      <c r="E1165" s="276">
        <f>E1175</f>
        <v>0</v>
      </c>
    </row>
    <row r="1166" spans="1:5" ht="12" thickTop="1" x14ac:dyDescent="0.2">
      <c r="A1166" s="287"/>
      <c r="C1166" s="273"/>
      <c r="D1166" s="271"/>
      <c r="E1166" s="271"/>
    </row>
    <row r="1167" spans="1:5" ht="12" thickBot="1" x14ac:dyDescent="0.25">
      <c r="A1167" s="283" t="s">
        <v>121</v>
      </c>
      <c r="B1167" s="274">
        <f>B1132+B1152+B1160+B1165</f>
        <v>24005255</v>
      </c>
      <c r="C1167" s="275">
        <f>C1132+C1152+C1160+C1165</f>
        <v>20780693.985700004</v>
      </c>
      <c r="D1167" s="274">
        <f>D1132+D1152+D1160+D1165</f>
        <v>22019700</v>
      </c>
      <c r="E1167" s="274">
        <f>E1132+E1152+E1160+E1165</f>
        <v>23295200</v>
      </c>
    </row>
    <row r="1168" spans="1:5" ht="12" thickTop="1" x14ac:dyDescent="0.2">
      <c r="A1168" s="287"/>
      <c r="C1168" s="273"/>
      <c r="D1168" s="271"/>
      <c r="E1168" s="271"/>
    </row>
    <row r="1169" spans="1:5" x14ac:dyDescent="0.2">
      <c r="A1169" s="313" t="s">
        <v>213</v>
      </c>
      <c r="C1169" s="273"/>
      <c r="D1169" s="271"/>
      <c r="E1169" s="271"/>
    </row>
    <row r="1170" spans="1:5" x14ac:dyDescent="0.2">
      <c r="A1170" s="283"/>
      <c r="C1170" s="273"/>
      <c r="D1170" s="271"/>
      <c r="E1170" s="271"/>
    </row>
    <row r="1171" spans="1:5" x14ac:dyDescent="0.2">
      <c r="A1171" s="262" t="s">
        <v>250</v>
      </c>
      <c r="B1171" s="272">
        <v>0</v>
      </c>
      <c r="C1171" s="273">
        <v>0</v>
      </c>
      <c r="D1171" s="277">
        <f t="shared" ref="D1171:D1173" si="188">ROUND(+C1171*(1+D$1),-2)</f>
        <v>0</v>
      </c>
      <c r="E1171" s="277">
        <f t="shared" ref="E1171:E1172" si="189">ROUND(+D1171*(1+E$1),-2)</f>
        <v>0</v>
      </c>
    </row>
    <row r="1172" spans="1:5" x14ac:dyDescent="0.2">
      <c r="A1172" s="262" t="s">
        <v>251</v>
      </c>
      <c r="B1172" s="272">
        <v>0</v>
      </c>
      <c r="C1172" s="273">
        <v>0</v>
      </c>
      <c r="D1172" s="277">
        <f t="shared" si="188"/>
        <v>0</v>
      </c>
      <c r="E1172" s="277">
        <f t="shared" si="189"/>
        <v>0</v>
      </c>
    </row>
    <row r="1173" spans="1:5" x14ac:dyDescent="0.2">
      <c r="A1173" s="262" t="s">
        <v>253</v>
      </c>
      <c r="C1173" s="273">
        <f t="shared" ref="C1173" si="190">B1173+B1173*0.06</f>
        <v>0</v>
      </c>
      <c r="D1173" s="277">
        <f t="shared" si="188"/>
        <v>0</v>
      </c>
      <c r="E1173" s="277">
        <f>ROUND(+D1173*(1+E$1),-2)</f>
        <v>0</v>
      </c>
    </row>
    <row r="1174" spans="1:5" x14ac:dyDescent="0.2">
      <c r="A1174" s="287"/>
      <c r="C1174" s="273"/>
      <c r="D1174" s="271"/>
      <c r="E1174" s="271"/>
    </row>
    <row r="1175" spans="1:5" ht="12" thickBot="1" x14ac:dyDescent="0.25">
      <c r="A1175" s="283" t="s">
        <v>129</v>
      </c>
      <c r="B1175" s="276">
        <f>SUM(B1171:B1173)</f>
        <v>0</v>
      </c>
      <c r="C1175" s="275">
        <f>SUM(C1171:C1173)</f>
        <v>0</v>
      </c>
      <c r="D1175" s="276">
        <f>SUM(D1171:D1173)</f>
        <v>0</v>
      </c>
      <c r="E1175" s="276">
        <f>SUM(E1171:E1173)</f>
        <v>0</v>
      </c>
    </row>
    <row r="1176" spans="1:5" ht="12" thickTop="1" x14ac:dyDescent="0.2">
      <c r="A1176" s="283"/>
      <c r="B1176" s="280"/>
      <c r="C1176" s="281"/>
      <c r="D1176" s="280"/>
      <c r="E1176" s="280"/>
    </row>
    <row r="1177" spans="1:5" x14ac:dyDescent="0.2">
      <c r="A1177" s="283"/>
      <c r="B1177" s="280"/>
      <c r="C1177" s="281"/>
      <c r="D1177" s="280"/>
      <c r="E1177" s="280"/>
    </row>
    <row r="1178" spans="1:5" x14ac:dyDescent="0.2">
      <c r="A1178" s="283"/>
      <c r="B1178" s="280"/>
      <c r="C1178" s="281"/>
      <c r="D1178" s="280"/>
      <c r="E1178" s="280"/>
    </row>
    <row r="1179" spans="1:5" x14ac:dyDescent="0.2">
      <c r="A1179" s="283"/>
      <c r="B1179" s="280"/>
      <c r="C1179" s="281"/>
      <c r="D1179" s="280"/>
      <c r="E1179" s="280"/>
    </row>
    <row r="1180" spans="1:5" x14ac:dyDescent="0.2">
      <c r="A1180" s="283"/>
      <c r="B1180" s="280"/>
      <c r="C1180" s="281"/>
      <c r="D1180" s="280"/>
      <c r="E1180" s="280"/>
    </row>
    <row r="1181" spans="1:5" x14ac:dyDescent="0.2">
      <c r="A1181" s="283"/>
      <c r="B1181" s="280"/>
      <c r="C1181" s="281"/>
      <c r="D1181" s="280"/>
      <c r="E1181" s="280"/>
    </row>
    <row r="1182" spans="1:5" x14ac:dyDescent="0.2">
      <c r="A1182" s="283"/>
      <c r="B1182" s="280"/>
      <c r="C1182" s="281"/>
      <c r="D1182" s="280"/>
      <c r="E1182" s="280"/>
    </row>
    <row r="1183" spans="1:5" x14ac:dyDescent="0.2">
      <c r="A1183" s="283"/>
      <c r="B1183" s="280"/>
      <c r="C1183" s="281"/>
      <c r="D1183" s="280"/>
      <c r="E1183" s="280"/>
    </row>
    <row r="1184" spans="1:5" x14ac:dyDescent="0.2">
      <c r="A1184" s="283"/>
      <c r="B1184" s="280"/>
      <c r="C1184" s="281"/>
      <c r="D1184" s="280"/>
      <c r="E1184" s="280"/>
    </row>
    <row r="1185" spans="1:5" x14ac:dyDescent="0.2">
      <c r="A1185" s="262"/>
      <c r="B1185" s="314" t="s">
        <v>522</v>
      </c>
      <c r="C1185" s="330" t="s">
        <v>522</v>
      </c>
      <c r="D1185" s="296"/>
      <c r="E1185" s="296"/>
    </row>
    <row r="1186" spans="1:5" x14ac:dyDescent="0.2">
      <c r="A1186" s="262"/>
      <c r="B1186" s="263" t="s">
        <v>207</v>
      </c>
      <c r="C1186" s="261" t="s">
        <v>207</v>
      </c>
      <c r="D1186" s="264" t="s">
        <v>207</v>
      </c>
      <c r="E1186" s="264" t="s">
        <v>207</v>
      </c>
    </row>
    <row r="1187" spans="1:5" x14ac:dyDescent="0.2">
      <c r="A1187" s="262"/>
      <c r="B1187" s="315" t="str">
        <f>B9</f>
        <v>2016/2017</v>
      </c>
      <c r="C1187" s="266" t="str">
        <f>C9</f>
        <v>2017/2018</v>
      </c>
      <c r="D1187" s="267" t="str">
        <f>D9</f>
        <v>2018/2019</v>
      </c>
      <c r="E1187" s="267" t="str">
        <f>E9</f>
        <v>2019/2020</v>
      </c>
    </row>
    <row r="1188" spans="1:5" x14ac:dyDescent="0.2">
      <c r="A1188" s="262"/>
      <c r="B1188" s="315"/>
      <c r="C1188" s="266"/>
      <c r="D1188" s="267"/>
      <c r="E1188" s="267"/>
    </row>
    <row r="1189" spans="1:5" ht="15.75" x14ac:dyDescent="0.25">
      <c r="A1189" s="321" t="s">
        <v>324</v>
      </c>
      <c r="B1189" s="280"/>
      <c r="C1189" s="281"/>
      <c r="D1189" s="296"/>
      <c r="E1189" s="296"/>
    </row>
    <row r="1190" spans="1:5" x14ac:dyDescent="0.2">
      <c r="A1190" s="262"/>
      <c r="B1190" s="280"/>
      <c r="C1190" s="281"/>
      <c r="D1190" s="296"/>
      <c r="E1190" s="296"/>
    </row>
    <row r="1191" spans="1:5" x14ac:dyDescent="0.2">
      <c r="A1191" s="270" t="s">
        <v>208</v>
      </c>
      <c r="C1191" s="273"/>
      <c r="D1191" s="277"/>
      <c r="E1191" s="277"/>
    </row>
    <row r="1192" spans="1:5" x14ac:dyDescent="0.2">
      <c r="A1192" s="262"/>
      <c r="C1192" s="273"/>
      <c r="D1192" s="277"/>
      <c r="E1192" s="277"/>
    </row>
    <row r="1193" spans="1:5" x14ac:dyDescent="0.2">
      <c r="A1193" s="262" t="s">
        <v>161</v>
      </c>
      <c r="B1193" s="272">
        <v>4056810</v>
      </c>
      <c r="C1193" s="273">
        <f>REMUNERATION!F348</f>
        <v>4066954.4400000004</v>
      </c>
      <c r="D1193" s="277">
        <f t="shared" ref="D1193:D1205" si="191">ROUND(+C1193*(1+D$1),-2)</f>
        <v>4302800</v>
      </c>
      <c r="E1193" s="277">
        <f t="shared" ref="E1193:E1205" si="192">ROUND(+D1193*(1+E$1),-2)</f>
        <v>4552400</v>
      </c>
    </row>
    <row r="1194" spans="1:5" x14ac:dyDescent="0.2">
      <c r="A1194" s="262" t="s">
        <v>195</v>
      </c>
      <c r="B1194" s="272">
        <v>388929</v>
      </c>
      <c r="C1194" s="273">
        <f>REMUNERATION!N348</f>
        <v>378474.66480000009</v>
      </c>
      <c r="D1194" s="277">
        <f t="shared" si="191"/>
        <v>400400</v>
      </c>
      <c r="E1194" s="277">
        <f t="shared" si="192"/>
        <v>423600</v>
      </c>
    </row>
    <row r="1195" spans="1:5" x14ac:dyDescent="0.2">
      <c r="A1195" s="262" t="s">
        <v>157</v>
      </c>
      <c r="B1195" s="272">
        <v>45000</v>
      </c>
      <c r="C1195" s="273">
        <f>REMUNERATION!O348</f>
        <v>65000</v>
      </c>
      <c r="D1195" s="277">
        <f t="shared" si="191"/>
        <v>68800</v>
      </c>
      <c r="E1195" s="277">
        <f t="shared" si="192"/>
        <v>72800</v>
      </c>
    </row>
    <row r="1196" spans="1:5" x14ac:dyDescent="0.2">
      <c r="A1196" s="262" t="s">
        <v>162</v>
      </c>
      <c r="B1196" s="272">
        <v>152088</v>
      </c>
      <c r="C1196" s="273">
        <f>REMUNERATION!I348</f>
        <v>152088</v>
      </c>
      <c r="D1196" s="277">
        <f t="shared" si="191"/>
        <v>160900</v>
      </c>
      <c r="E1196" s="277">
        <f t="shared" si="192"/>
        <v>170200</v>
      </c>
    </row>
    <row r="1197" spans="1:5" x14ac:dyDescent="0.2">
      <c r="A1197" s="262" t="s">
        <v>163</v>
      </c>
      <c r="B1197" s="272">
        <v>457438</v>
      </c>
      <c r="C1197" s="273">
        <f>REMUNERATION!H348</f>
        <v>497036.40000000008</v>
      </c>
      <c r="D1197" s="277">
        <f t="shared" si="191"/>
        <v>525900</v>
      </c>
      <c r="E1197" s="277">
        <f t="shared" si="192"/>
        <v>556400</v>
      </c>
    </row>
    <row r="1198" spans="1:5" x14ac:dyDescent="0.2">
      <c r="A1198" s="262" t="s">
        <v>164</v>
      </c>
      <c r="B1198" s="272">
        <v>67500</v>
      </c>
      <c r="C1198" s="273">
        <f>REMUNERATION!E347</f>
        <v>67500</v>
      </c>
      <c r="D1198" s="277">
        <f t="shared" si="191"/>
        <v>71400</v>
      </c>
      <c r="E1198" s="277">
        <f t="shared" si="192"/>
        <v>75500</v>
      </c>
    </row>
    <row r="1199" spans="1:5" x14ac:dyDescent="0.2">
      <c r="A1199" s="262" t="s">
        <v>275</v>
      </c>
      <c r="B1199" s="272">
        <v>2700</v>
      </c>
      <c r="C1199" s="273">
        <v>0</v>
      </c>
      <c r="D1199" s="277">
        <f t="shared" si="191"/>
        <v>0</v>
      </c>
      <c r="E1199" s="277">
        <f t="shared" si="192"/>
        <v>0</v>
      </c>
    </row>
    <row r="1200" spans="1:5" x14ac:dyDescent="0.2">
      <c r="A1200" s="262" t="s">
        <v>133</v>
      </c>
      <c r="B1200" s="272">
        <v>695037</v>
      </c>
      <c r="C1200" s="273">
        <f>REMUNERATION!G348</f>
        <v>741137.12639999995</v>
      </c>
      <c r="D1200" s="277">
        <f t="shared" si="191"/>
        <v>784100</v>
      </c>
      <c r="E1200" s="277">
        <f t="shared" si="192"/>
        <v>829600</v>
      </c>
    </row>
    <row r="1201" spans="1:5" x14ac:dyDescent="0.2">
      <c r="A1201" s="262" t="s">
        <v>165</v>
      </c>
      <c r="B1201" s="272">
        <v>1069680</v>
      </c>
      <c r="C1201" s="273">
        <f>REMUNERATION!K348</f>
        <v>1069680</v>
      </c>
      <c r="D1201" s="277">
        <f t="shared" si="191"/>
        <v>1131700</v>
      </c>
      <c r="E1201" s="277">
        <f t="shared" si="192"/>
        <v>1197300</v>
      </c>
    </row>
    <row r="1202" spans="1:5" x14ac:dyDescent="0.2">
      <c r="A1202" s="262" t="s">
        <v>166</v>
      </c>
      <c r="B1202" s="272">
        <v>19260</v>
      </c>
      <c r="C1202" s="273">
        <f>REMUNERATION!J348</f>
        <v>19260</v>
      </c>
      <c r="D1202" s="277">
        <f t="shared" si="191"/>
        <v>20400</v>
      </c>
      <c r="E1202" s="277">
        <f t="shared" si="192"/>
        <v>21600</v>
      </c>
    </row>
    <row r="1203" spans="1:5" x14ac:dyDescent="0.2">
      <c r="A1203" s="262" t="s">
        <v>167</v>
      </c>
      <c r="B1203" s="272">
        <v>37630</v>
      </c>
      <c r="C1203" s="273">
        <f>REMUNERATION!M348</f>
        <v>41107.907900000013</v>
      </c>
      <c r="D1203" s="277">
        <f t="shared" si="191"/>
        <v>43500</v>
      </c>
      <c r="E1203" s="277">
        <f t="shared" si="192"/>
        <v>46000</v>
      </c>
    </row>
    <row r="1204" spans="1:5" x14ac:dyDescent="0.2">
      <c r="A1204" s="262" t="s">
        <v>168</v>
      </c>
      <c r="B1204" s="272">
        <v>900</v>
      </c>
      <c r="C1204" s="273">
        <f>REMUNERATION!L348</f>
        <v>930</v>
      </c>
      <c r="D1204" s="277">
        <f t="shared" si="191"/>
        <v>1000</v>
      </c>
      <c r="E1204" s="277">
        <f t="shared" si="192"/>
        <v>1100</v>
      </c>
    </row>
    <row r="1205" spans="1:5" x14ac:dyDescent="0.2">
      <c r="A1205" s="262" t="s">
        <v>4</v>
      </c>
      <c r="B1205" s="272">
        <v>0</v>
      </c>
      <c r="C1205" s="273">
        <v>0</v>
      </c>
      <c r="D1205" s="277">
        <f t="shared" si="191"/>
        <v>0</v>
      </c>
      <c r="E1205" s="277">
        <f t="shared" si="192"/>
        <v>0</v>
      </c>
    </row>
    <row r="1206" spans="1:5" x14ac:dyDescent="0.2">
      <c r="C1206" s="273"/>
      <c r="D1206" s="277"/>
      <c r="E1206" s="277"/>
    </row>
    <row r="1207" spans="1:5" ht="12" thickBot="1" x14ac:dyDescent="0.25">
      <c r="A1207" s="262" t="s">
        <v>209</v>
      </c>
      <c r="B1207" s="274">
        <f>SUM(B1193:B1206)</f>
        <v>6992972</v>
      </c>
      <c r="C1207" s="275">
        <f>SUM(C1193:C1206)</f>
        <v>7099168.5391000006</v>
      </c>
      <c r="D1207" s="289">
        <f>SUM(D1193:D1206)</f>
        <v>7510900</v>
      </c>
      <c r="E1207" s="289">
        <f>SUM(E1193:E1206)</f>
        <v>7946500</v>
      </c>
    </row>
    <row r="1208" spans="1:5" ht="12" thickTop="1" x14ac:dyDescent="0.2">
      <c r="C1208" s="273"/>
      <c r="D1208" s="277"/>
      <c r="E1208" s="277"/>
    </row>
    <row r="1209" spans="1:5" x14ac:dyDescent="0.2">
      <c r="A1209" s="270" t="s">
        <v>203</v>
      </c>
      <c r="C1209" s="273"/>
      <c r="D1209" s="277"/>
      <c r="E1209" s="277"/>
    </row>
    <row r="1210" spans="1:5" x14ac:dyDescent="0.2">
      <c r="A1210" s="262"/>
      <c r="C1210" s="273"/>
      <c r="D1210" s="277"/>
      <c r="E1210" s="277"/>
    </row>
    <row r="1211" spans="1:5" x14ac:dyDescent="0.2">
      <c r="A1211" s="262"/>
      <c r="C1211" s="273"/>
      <c r="D1211" s="277"/>
      <c r="E1211" s="277"/>
    </row>
    <row r="1212" spans="1:5" x14ac:dyDescent="0.2">
      <c r="A1212" s="262" t="s">
        <v>272</v>
      </c>
      <c r="B1212" s="272">
        <v>400000</v>
      </c>
      <c r="C1212" s="273">
        <v>400000</v>
      </c>
      <c r="D1212" s="277">
        <f t="shared" ref="D1212:D1225" si="193">ROUND(+C1212*(1+D$1),-2)</f>
        <v>423200</v>
      </c>
      <c r="E1212" s="277">
        <f t="shared" ref="E1212" si="194">ROUND(+D1212*(1+E$1),-2)</f>
        <v>447700</v>
      </c>
    </row>
    <row r="1213" spans="1:5" x14ac:dyDescent="0.2">
      <c r="A1213" s="262" t="s">
        <v>300</v>
      </c>
      <c r="B1213" s="272">
        <v>200000</v>
      </c>
      <c r="C1213" s="273">
        <v>200000</v>
      </c>
      <c r="D1213" s="277">
        <f t="shared" si="193"/>
        <v>211600</v>
      </c>
      <c r="E1213" s="277">
        <f t="shared" ref="E1213:E1225" si="195">ROUND(+D1213*(1+E$1),-2)</f>
        <v>223900</v>
      </c>
    </row>
    <row r="1214" spans="1:5" x14ac:dyDescent="0.2">
      <c r="A1214" s="262" t="s">
        <v>258</v>
      </c>
      <c r="B1214" s="272">
        <v>0</v>
      </c>
      <c r="C1214" s="273">
        <v>0</v>
      </c>
      <c r="D1214" s="277">
        <f t="shared" si="193"/>
        <v>0</v>
      </c>
      <c r="E1214" s="277">
        <f t="shared" si="195"/>
        <v>0</v>
      </c>
    </row>
    <row r="1215" spans="1:5" x14ac:dyDescent="0.2">
      <c r="A1215" s="310" t="s">
        <v>230</v>
      </c>
      <c r="B1215" s="272">
        <v>1800000</v>
      </c>
      <c r="C1215" s="273">
        <v>1800000</v>
      </c>
      <c r="D1215" s="277">
        <f t="shared" si="193"/>
        <v>1904400</v>
      </c>
      <c r="E1215" s="277">
        <f t="shared" si="195"/>
        <v>2014900</v>
      </c>
    </row>
    <row r="1216" spans="1:5" x14ac:dyDescent="0.2">
      <c r="A1216" s="262" t="s">
        <v>141</v>
      </c>
      <c r="B1216" s="272">
        <v>63600</v>
      </c>
      <c r="C1216" s="273">
        <v>63600</v>
      </c>
      <c r="D1216" s="277">
        <f t="shared" si="193"/>
        <v>67300</v>
      </c>
      <c r="E1216" s="277">
        <f t="shared" si="195"/>
        <v>71200</v>
      </c>
    </row>
    <row r="1217" spans="1:5" x14ac:dyDescent="0.2">
      <c r="A1217" s="262" t="s">
        <v>273</v>
      </c>
      <c r="B1217" s="272">
        <v>0</v>
      </c>
      <c r="C1217" s="273">
        <v>0</v>
      </c>
      <c r="D1217" s="277">
        <f t="shared" si="193"/>
        <v>0</v>
      </c>
      <c r="E1217" s="277">
        <f t="shared" si="195"/>
        <v>0</v>
      </c>
    </row>
    <row r="1218" spans="1:5" x14ac:dyDescent="0.2">
      <c r="A1218" s="262" t="s">
        <v>114</v>
      </c>
      <c r="B1218" s="272">
        <v>0</v>
      </c>
      <c r="C1218" s="273">
        <v>0</v>
      </c>
      <c r="D1218" s="277">
        <f t="shared" si="193"/>
        <v>0</v>
      </c>
      <c r="E1218" s="277">
        <f t="shared" si="195"/>
        <v>0</v>
      </c>
    </row>
    <row r="1219" spans="1:5" x14ac:dyDescent="0.2">
      <c r="A1219" s="262" t="s">
        <v>158</v>
      </c>
      <c r="B1219" s="272">
        <v>0</v>
      </c>
      <c r="C1219" s="273">
        <v>0</v>
      </c>
      <c r="D1219" s="277">
        <f t="shared" si="193"/>
        <v>0</v>
      </c>
      <c r="E1219" s="277">
        <f t="shared" si="195"/>
        <v>0</v>
      </c>
    </row>
    <row r="1220" spans="1:5" x14ac:dyDescent="0.2">
      <c r="A1220" s="262" t="s">
        <v>480</v>
      </c>
      <c r="B1220" s="272">
        <v>1320000</v>
      </c>
      <c r="C1220" s="273">
        <v>1500000</v>
      </c>
      <c r="D1220" s="277">
        <f t="shared" si="193"/>
        <v>1587000</v>
      </c>
      <c r="E1220" s="277">
        <f t="shared" si="195"/>
        <v>1679000</v>
      </c>
    </row>
    <row r="1221" spans="1:5" x14ac:dyDescent="0.2">
      <c r="A1221" s="262" t="s">
        <v>265</v>
      </c>
      <c r="B1221" s="272">
        <v>0</v>
      </c>
      <c r="C1221" s="273">
        <v>0</v>
      </c>
      <c r="D1221" s="277">
        <f t="shared" si="193"/>
        <v>0</v>
      </c>
      <c r="E1221" s="277">
        <f t="shared" ref="E1221:E1222" si="196">ROUND(+D1221*(1+E$1),-2)</f>
        <v>0</v>
      </c>
    </row>
    <row r="1222" spans="1:5" x14ac:dyDescent="0.2">
      <c r="A1222" s="262" t="s">
        <v>377</v>
      </c>
      <c r="B1222" s="272">
        <v>1500000</v>
      </c>
      <c r="C1222" s="273">
        <v>1000000</v>
      </c>
      <c r="D1222" s="277">
        <f t="shared" si="193"/>
        <v>1058000</v>
      </c>
      <c r="E1222" s="277">
        <f t="shared" si="196"/>
        <v>1119400</v>
      </c>
    </row>
    <row r="1223" spans="1:5" x14ac:dyDescent="0.2">
      <c r="A1223" s="262" t="s">
        <v>308</v>
      </c>
      <c r="B1223" s="272">
        <v>0</v>
      </c>
      <c r="C1223" s="273">
        <v>0</v>
      </c>
      <c r="D1223" s="277">
        <f t="shared" si="193"/>
        <v>0</v>
      </c>
      <c r="E1223" s="277">
        <f t="shared" si="195"/>
        <v>0</v>
      </c>
    </row>
    <row r="1224" spans="1:5" x14ac:dyDescent="0.2">
      <c r="A1224" s="262" t="s">
        <v>271</v>
      </c>
      <c r="B1224" s="272">
        <v>800000</v>
      </c>
      <c r="C1224" s="273">
        <v>800000</v>
      </c>
      <c r="D1224" s="277">
        <f t="shared" si="193"/>
        <v>846400</v>
      </c>
      <c r="E1224" s="277">
        <f t="shared" si="195"/>
        <v>895500</v>
      </c>
    </row>
    <row r="1225" spans="1:5" x14ac:dyDescent="0.2">
      <c r="A1225" s="262" t="s">
        <v>159</v>
      </c>
      <c r="B1225" s="272">
        <v>65275</v>
      </c>
      <c r="C1225" s="273">
        <v>65275</v>
      </c>
      <c r="D1225" s="277">
        <f t="shared" si="193"/>
        <v>69100</v>
      </c>
      <c r="E1225" s="277">
        <f t="shared" si="195"/>
        <v>73100</v>
      </c>
    </row>
    <row r="1226" spans="1:5" x14ac:dyDescent="0.2">
      <c r="A1226" s="262" t="s">
        <v>155</v>
      </c>
      <c r="B1226" s="272">
        <v>171402</v>
      </c>
      <c r="C1226" s="273">
        <v>171402</v>
      </c>
      <c r="D1226" s="277">
        <v>181700</v>
      </c>
      <c r="E1226" s="277">
        <v>191800</v>
      </c>
    </row>
    <row r="1227" spans="1:5" ht="12" thickBot="1" x14ac:dyDescent="0.25">
      <c r="A1227" s="262" t="s">
        <v>210</v>
      </c>
      <c r="B1227" s="274">
        <f>SUM(B1212:B1226)</f>
        <v>6320277</v>
      </c>
      <c r="C1227" s="275">
        <f>SUM(C1212:C1226)</f>
        <v>6000277</v>
      </c>
      <c r="D1227" s="274">
        <f>SUM(D1212:D1226)</f>
        <v>6348700</v>
      </c>
      <c r="E1227" s="274">
        <f>SUM(E1212:E1226)</f>
        <v>6716500</v>
      </c>
    </row>
    <row r="1228" spans="1:5" ht="12" thickTop="1" x14ac:dyDescent="0.2">
      <c r="C1228" s="273"/>
      <c r="D1228" s="277"/>
      <c r="E1228" s="277"/>
    </row>
    <row r="1229" spans="1:5" x14ac:dyDescent="0.2">
      <c r="A1229" s="270" t="s">
        <v>211</v>
      </c>
      <c r="C1229" s="273"/>
      <c r="D1229" s="277"/>
      <c r="E1229" s="277"/>
    </row>
    <row r="1230" spans="1:5" x14ac:dyDescent="0.2">
      <c r="A1230" s="262"/>
      <c r="C1230" s="273"/>
      <c r="D1230" s="277"/>
      <c r="E1230" s="277"/>
    </row>
    <row r="1231" spans="1:5" x14ac:dyDescent="0.2">
      <c r="A1231" s="262" t="s">
        <v>244</v>
      </c>
      <c r="B1231" s="272">
        <v>0</v>
      </c>
      <c r="C1231" s="273">
        <v>0</v>
      </c>
      <c r="D1231" s="277">
        <f t="shared" ref="D1231:D1233" si="197">ROUND(+C1231*(1+D$1),-2)</f>
        <v>0</v>
      </c>
      <c r="E1231" s="277">
        <f t="shared" ref="E1231:E1233" si="198">ROUND(+D1231*(1+E$1),-2)</f>
        <v>0</v>
      </c>
    </row>
    <row r="1232" spans="1:5" x14ac:dyDescent="0.2">
      <c r="A1232" s="262" t="s">
        <v>245</v>
      </c>
      <c r="B1232" s="272">
        <v>0</v>
      </c>
      <c r="C1232" s="273">
        <v>0</v>
      </c>
      <c r="D1232" s="277">
        <f t="shared" si="197"/>
        <v>0</v>
      </c>
      <c r="E1232" s="277">
        <f t="shared" si="198"/>
        <v>0</v>
      </c>
    </row>
    <row r="1233" spans="1:5" x14ac:dyDescent="0.2">
      <c r="A1233" s="262" t="s">
        <v>247</v>
      </c>
      <c r="C1233" s="273">
        <f t="shared" ref="C1233" si="199">B1233+B1233*0.06</f>
        <v>0</v>
      </c>
      <c r="D1233" s="277">
        <f t="shared" si="197"/>
        <v>0</v>
      </c>
      <c r="E1233" s="277">
        <f t="shared" si="198"/>
        <v>0</v>
      </c>
    </row>
    <row r="1234" spans="1:5" x14ac:dyDescent="0.2">
      <c r="C1234" s="273"/>
      <c r="D1234" s="277"/>
      <c r="E1234" s="277"/>
    </row>
    <row r="1235" spans="1:5" ht="12" thickBot="1" x14ac:dyDescent="0.25">
      <c r="A1235" s="262" t="s">
        <v>212</v>
      </c>
      <c r="B1235" s="274">
        <f>SUM(B1231:B1234)</f>
        <v>0</v>
      </c>
      <c r="C1235" s="275">
        <f>SUM(C1231:C1234)</f>
        <v>0</v>
      </c>
      <c r="D1235" s="289">
        <f>SUM(D1231:D1234)</f>
        <v>0</v>
      </c>
      <c r="E1235" s="289">
        <f>SUM(E1231:E1234)</f>
        <v>0</v>
      </c>
    </row>
    <row r="1236" spans="1:5" ht="12" thickTop="1" x14ac:dyDescent="0.2">
      <c r="C1236" s="273"/>
      <c r="D1236" s="277"/>
      <c r="E1236" s="277"/>
    </row>
    <row r="1237" spans="1:5" x14ac:dyDescent="0.2">
      <c r="A1237" s="270" t="s">
        <v>213</v>
      </c>
      <c r="C1237" s="273"/>
      <c r="D1237" s="277"/>
      <c r="E1237" s="277"/>
    </row>
    <row r="1238" spans="1:5" x14ac:dyDescent="0.2">
      <c r="A1238" s="262"/>
      <c r="C1238" s="273"/>
      <c r="D1238" s="277"/>
      <c r="E1238" s="277"/>
    </row>
    <row r="1239" spans="1:5" x14ac:dyDescent="0.2">
      <c r="C1239" s="273"/>
      <c r="D1239" s="277"/>
      <c r="E1239" s="277"/>
    </row>
    <row r="1240" spans="1:5" ht="12" thickBot="1" x14ac:dyDescent="0.25">
      <c r="A1240" s="262" t="s">
        <v>214</v>
      </c>
      <c r="B1240" s="276">
        <f>B1257</f>
        <v>0</v>
      </c>
      <c r="C1240" s="275">
        <f>C1257</f>
        <v>0</v>
      </c>
      <c r="D1240" s="289">
        <f>D1257</f>
        <v>0</v>
      </c>
      <c r="E1240" s="289">
        <f>E1257</f>
        <v>0</v>
      </c>
    </row>
    <row r="1241" spans="1:5" ht="12" thickTop="1" x14ac:dyDescent="0.2">
      <c r="C1241" s="273"/>
      <c r="D1241" s="277"/>
      <c r="E1241" s="277"/>
    </row>
    <row r="1242" spans="1:5" x14ac:dyDescent="0.2">
      <c r="C1242" s="273"/>
      <c r="D1242" s="277"/>
      <c r="E1242" s="277"/>
    </row>
    <row r="1243" spans="1:5" ht="12" thickBot="1" x14ac:dyDescent="0.25">
      <c r="A1243" s="262" t="s">
        <v>121</v>
      </c>
      <c r="B1243" s="274">
        <f>B1240+B1235+B1227+B1207</f>
        <v>13313249</v>
      </c>
      <c r="C1243" s="275">
        <f>C1240+C1235+C1227+C1207</f>
        <v>13099445.539100001</v>
      </c>
      <c r="D1243" s="289">
        <f>D1240+D1235+D1227+D1207</f>
        <v>13859600</v>
      </c>
      <c r="E1243" s="289">
        <f>E1240+E1235+E1227+E1207</f>
        <v>14663000</v>
      </c>
    </row>
    <row r="1244" spans="1:5" ht="12" thickTop="1" x14ac:dyDescent="0.2">
      <c r="C1244" s="273"/>
      <c r="D1244" s="277"/>
      <c r="E1244" s="277"/>
    </row>
    <row r="1245" spans="1:5" x14ac:dyDescent="0.2">
      <c r="A1245" s="270" t="s">
        <v>119</v>
      </c>
      <c r="C1245" s="273"/>
      <c r="D1245" s="277"/>
      <c r="E1245" s="277"/>
    </row>
    <row r="1246" spans="1:5" x14ac:dyDescent="0.2">
      <c r="A1246" s="262"/>
      <c r="C1246" s="273"/>
      <c r="D1246" s="277"/>
      <c r="E1246" s="277"/>
    </row>
    <row r="1247" spans="1:5" x14ac:dyDescent="0.2">
      <c r="A1247" s="262" t="s">
        <v>119</v>
      </c>
      <c r="C1247" s="273">
        <f>B1247</f>
        <v>0</v>
      </c>
      <c r="D1247" s="277">
        <f>ROUND(+C1247*(1+D$1),-2)</f>
        <v>0</v>
      </c>
      <c r="E1247" s="277">
        <f>ROUND(+D1247*(1+E$1),-2)</f>
        <v>0</v>
      </c>
    </row>
    <row r="1248" spans="1:5" x14ac:dyDescent="0.2">
      <c r="C1248" s="273"/>
      <c r="D1248" s="277"/>
      <c r="E1248" s="277"/>
    </row>
    <row r="1249" spans="1:5" ht="12" thickBot="1" x14ac:dyDescent="0.25">
      <c r="A1249" s="262" t="s">
        <v>120</v>
      </c>
      <c r="B1249" s="276">
        <f>SUM(B1247:B1248)</f>
        <v>0</v>
      </c>
      <c r="C1249" s="275">
        <f>SUM(C1247:C1248)</f>
        <v>0</v>
      </c>
      <c r="D1249" s="289">
        <f>SUM(D1247:D1248)</f>
        <v>0</v>
      </c>
      <c r="E1249" s="289">
        <f>SUM(E1247:E1248)</f>
        <v>0</v>
      </c>
    </row>
    <row r="1250" spans="1:5" ht="12" thickTop="1" x14ac:dyDescent="0.2">
      <c r="C1250" s="273"/>
      <c r="D1250" s="277"/>
      <c r="E1250" s="277"/>
    </row>
    <row r="1251" spans="1:5" x14ac:dyDescent="0.2">
      <c r="A1251" s="270" t="s">
        <v>213</v>
      </c>
      <c r="C1251" s="273"/>
      <c r="D1251" s="277"/>
      <c r="E1251" s="277"/>
    </row>
    <row r="1252" spans="1:5" x14ac:dyDescent="0.2">
      <c r="A1252" s="262"/>
      <c r="C1252" s="273"/>
      <c r="D1252" s="277"/>
      <c r="E1252" s="277"/>
    </row>
    <row r="1253" spans="1:5" x14ac:dyDescent="0.2">
      <c r="A1253" s="262" t="s">
        <v>250</v>
      </c>
      <c r="B1253" s="272">
        <v>0</v>
      </c>
      <c r="C1253" s="273">
        <v>0</v>
      </c>
      <c r="D1253" s="277">
        <f t="shared" ref="D1253:D1255" si="200">ROUND(+C1253*(1+D$1),-2)</f>
        <v>0</v>
      </c>
      <c r="E1253" s="277">
        <f t="shared" ref="E1253:E1255" si="201">ROUND(+D1253*(1+E$1),-2)</f>
        <v>0</v>
      </c>
    </row>
    <row r="1254" spans="1:5" x14ac:dyDescent="0.2">
      <c r="A1254" s="262" t="s">
        <v>251</v>
      </c>
      <c r="C1254" s="273">
        <f t="shared" ref="C1254:C1255" si="202">B1254+B1254*0.06</f>
        <v>0</v>
      </c>
      <c r="D1254" s="277">
        <f t="shared" si="200"/>
        <v>0</v>
      </c>
      <c r="E1254" s="277">
        <f t="shared" si="201"/>
        <v>0</v>
      </c>
    </row>
    <row r="1255" spans="1:5" x14ac:dyDescent="0.2">
      <c r="A1255" s="262" t="s">
        <v>252</v>
      </c>
      <c r="C1255" s="273">
        <f t="shared" si="202"/>
        <v>0</v>
      </c>
      <c r="D1255" s="277">
        <f t="shared" si="200"/>
        <v>0</v>
      </c>
      <c r="E1255" s="277">
        <f t="shared" si="201"/>
        <v>0</v>
      </c>
    </row>
    <row r="1256" spans="1:5" x14ac:dyDescent="0.2">
      <c r="C1256" s="273"/>
      <c r="D1256" s="277"/>
      <c r="E1256" s="277"/>
    </row>
    <row r="1257" spans="1:5" ht="12" thickBot="1" x14ac:dyDescent="0.25">
      <c r="A1257" s="262" t="s">
        <v>129</v>
      </c>
      <c r="B1257" s="276">
        <f>SUM(B1253:B1256)</f>
        <v>0</v>
      </c>
      <c r="C1257" s="275">
        <f>SUM(C1253:C1256)</f>
        <v>0</v>
      </c>
      <c r="D1257" s="289">
        <f>SUM(D1253:D1256)</f>
        <v>0</v>
      </c>
      <c r="E1257" s="289">
        <f>SUM(E1253:E1256)</f>
        <v>0</v>
      </c>
    </row>
    <row r="1258" spans="1:5" ht="12" thickTop="1" x14ac:dyDescent="0.2">
      <c r="A1258" s="262"/>
    </row>
    <row r="1259" spans="1:5" x14ac:dyDescent="0.2">
      <c r="A1259" s="262"/>
    </row>
    <row r="1260" spans="1:5" x14ac:dyDescent="0.2">
      <c r="A1260" s="262"/>
    </row>
    <row r="1261" spans="1:5" x14ac:dyDescent="0.2">
      <c r="A1261" s="262"/>
    </row>
    <row r="1262" spans="1:5" ht="20.25" x14ac:dyDescent="0.3">
      <c r="A1262" s="322" t="s">
        <v>233</v>
      </c>
    </row>
    <row r="1263" spans="1:5" x14ac:dyDescent="0.2">
      <c r="A1263" s="262"/>
    </row>
    <row r="1264" spans="1:5" x14ac:dyDescent="0.2">
      <c r="A1264" s="248" t="s">
        <v>234</v>
      </c>
      <c r="B1264" s="271">
        <f>B269+B334+B471+B537+B674+B761+B822+B892+B951+B1009+B406+B1067+B1132+B1207</f>
        <v>104332330</v>
      </c>
      <c r="C1264" s="273">
        <f>C269+C334+C471+C537+C674+C761+C822+C892+C951+C1009+C406+C1067+C1132+C1207</f>
        <v>115463247.27577503</v>
      </c>
      <c r="D1264" s="271">
        <f>D269+D334+D471+D537+D674+D761+D822+D892+D951+D1009+D406+D1067+D1132+D1207</f>
        <v>122164500</v>
      </c>
      <c r="E1264" s="271">
        <f>E269+E334+E471+E537+E674+E761+E822+E892+E951+E1009+E406+E1067+E1132+E1207</f>
        <v>129249500</v>
      </c>
    </row>
    <row r="1265" spans="1:5" x14ac:dyDescent="0.2">
      <c r="A1265" s="248" t="s">
        <v>105</v>
      </c>
      <c r="B1265" s="271">
        <f>B279+B347+B416+B481+B1077</f>
        <v>16103915</v>
      </c>
      <c r="C1265" s="273">
        <f>C279+C347+C416+C481+C1077</f>
        <v>15250155.400000002</v>
      </c>
      <c r="D1265" s="323">
        <f>D279+D347+D416+D481+D1077</f>
        <v>16134700</v>
      </c>
      <c r="E1265" s="323">
        <f>E279+E347+E416+E481+E1077</f>
        <v>17070500</v>
      </c>
    </row>
    <row r="1266" spans="1:5" x14ac:dyDescent="0.2">
      <c r="A1266" s="248" t="s">
        <v>235</v>
      </c>
      <c r="B1266" s="271">
        <f>B290+B363+B489+B558+B711+B774+B840+B908+B961+B1023+B425+B1086+B1152+B1227</f>
        <v>73375126</v>
      </c>
      <c r="C1266" s="273">
        <f>C290+C363+C489+C558+C711+C774+C840+C908+C961+C1023+C425+C1086+C1152+C1227</f>
        <v>86258622</v>
      </c>
      <c r="D1266" s="324">
        <f>D290+D363+D489+D558+D711+D774+D840+D908+D961+D1023+D425+D1086+D1152+D1227</f>
        <v>82194605</v>
      </c>
      <c r="E1266" s="324">
        <f>E290+E363+E489+E558+E711+E774+E840+E908+E961+E1023+E425+E1086+E1152+E1227</f>
        <v>85709905</v>
      </c>
    </row>
    <row r="1267" spans="1:5" x14ac:dyDescent="0.2">
      <c r="A1267" s="248" t="s">
        <v>236</v>
      </c>
      <c r="B1267" s="271">
        <f>B297+B370+B497+B566+B721+B781+B848+B915+B968+B1030+B432+B1093+B1160+B1235</f>
        <v>2942815</v>
      </c>
      <c r="C1267" s="273">
        <f>C297+C370+C497+C566+C721+C781+C848+C915+C968+C1030+C432+C1093+C1160+C1235</f>
        <v>1993815</v>
      </c>
      <c r="D1267" s="271">
        <f>D297+D370+D497+D566+D721+D781+D848+D915+D968+D1030+D432+D1093+D1160+D1235</f>
        <v>2305100</v>
      </c>
      <c r="E1267" s="271">
        <f>E297+E370+E497+E566+E721+E781+E848+E915+E968+E1030+E432+E1093+E1160+E1235</f>
        <v>2438900</v>
      </c>
    </row>
    <row r="1268" spans="1:5" x14ac:dyDescent="0.2">
      <c r="A1268" s="262" t="s">
        <v>237</v>
      </c>
      <c r="B1268" s="271">
        <f>B580</f>
        <v>15115487</v>
      </c>
      <c r="C1268" s="273">
        <f>C580</f>
        <v>14495487</v>
      </c>
      <c r="D1268" s="271">
        <f>D580</f>
        <v>16124682</v>
      </c>
      <c r="E1268" s="271">
        <f>E580</f>
        <v>18657908</v>
      </c>
    </row>
    <row r="1269" spans="1:5" x14ac:dyDescent="0.2">
      <c r="A1269" s="262" t="s">
        <v>238</v>
      </c>
      <c r="B1269" s="271">
        <f>B301+B374+B501+B571+B726+B786+B853+B920+B974+B1035+B436+B1175+B1240</f>
        <v>0</v>
      </c>
      <c r="C1269" s="273">
        <f>C301+C374+C501+C571+C726+C786+C853+C920+C974+C1035+C436+C1165+C1240</f>
        <v>0</v>
      </c>
      <c r="D1269" s="271">
        <f>D301+D374+D501+D571+D726+D786+D853+D920+D974+D1035+D436+D1175+D1240</f>
        <v>0</v>
      </c>
      <c r="E1269" s="271">
        <f>E301+E374+E501+E571+E726+E786+E853+E920+E974+E1035+E436+E1175+E1240</f>
        <v>0</v>
      </c>
    </row>
    <row r="1270" spans="1:5" ht="12" thickBot="1" x14ac:dyDescent="0.25">
      <c r="A1270" s="262" t="s">
        <v>239</v>
      </c>
      <c r="B1270" s="276">
        <f>SUM(B1264:B1269)</f>
        <v>211869673</v>
      </c>
      <c r="C1270" s="275">
        <f>SUM(C1264:C1269)</f>
        <v>233461326.67577505</v>
      </c>
      <c r="D1270" s="276">
        <f>SUM(D1264:D1269)</f>
        <v>238923587</v>
      </c>
      <c r="E1270" s="276">
        <f>SUM(E1264:E1269)</f>
        <v>253126713</v>
      </c>
    </row>
    <row r="1271" spans="1:5" ht="12" thickTop="1" x14ac:dyDescent="0.2">
      <c r="A1271" s="262"/>
    </row>
    <row r="1274" spans="1:5" x14ac:dyDescent="0.2">
      <c r="A1274" s="278" t="s">
        <v>240</v>
      </c>
    </row>
    <row r="1275" spans="1:5" x14ac:dyDescent="0.2">
      <c r="A1275" s="248" t="s">
        <v>234</v>
      </c>
      <c r="B1275" s="271">
        <f>B30</f>
        <v>104332330</v>
      </c>
      <c r="C1275" s="273">
        <f>C30</f>
        <v>115463247.27577502</v>
      </c>
      <c r="D1275" s="271">
        <f>D30</f>
        <v>122164500</v>
      </c>
      <c r="E1275" s="271">
        <f>E30</f>
        <v>129249500</v>
      </c>
    </row>
    <row r="1276" spans="1:5" x14ac:dyDescent="0.2">
      <c r="A1276" s="248" t="s">
        <v>105</v>
      </c>
      <c r="B1276" s="271">
        <f>B45</f>
        <v>16103915</v>
      </c>
      <c r="C1276" s="273">
        <f>C45</f>
        <v>15250155.400000002</v>
      </c>
      <c r="D1276" s="271">
        <f>D45</f>
        <v>16134700</v>
      </c>
      <c r="E1276" s="271">
        <f>E45</f>
        <v>17070500</v>
      </c>
    </row>
    <row r="1277" spans="1:5" x14ac:dyDescent="0.2">
      <c r="A1277" s="248" t="s">
        <v>235</v>
      </c>
      <c r="B1277" s="271">
        <f>B158</f>
        <v>73375126</v>
      </c>
      <c r="C1277" s="273">
        <f>C158</f>
        <v>86258622</v>
      </c>
      <c r="D1277" s="271">
        <f>D158</f>
        <v>82194605</v>
      </c>
      <c r="E1277" s="271">
        <f>E158</f>
        <v>85709905</v>
      </c>
    </row>
    <row r="1278" spans="1:5" x14ac:dyDescent="0.2">
      <c r="A1278" s="248" t="s">
        <v>236</v>
      </c>
      <c r="B1278" s="271">
        <f>B167</f>
        <v>2942815</v>
      </c>
      <c r="C1278" s="273">
        <f>C167</f>
        <v>1993815</v>
      </c>
      <c r="D1278" s="271">
        <f>D167</f>
        <v>2305100</v>
      </c>
      <c r="E1278" s="271">
        <f>E167</f>
        <v>2438900</v>
      </c>
    </row>
    <row r="1279" spans="1:5" x14ac:dyDescent="0.2">
      <c r="A1279" s="262" t="s">
        <v>237</v>
      </c>
      <c r="B1279" s="271">
        <f>B179</f>
        <v>15115487</v>
      </c>
      <c r="C1279" s="273">
        <f>C179</f>
        <v>14495487</v>
      </c>
      <c r="D1279" s="271">
        <f>D179</f>
        <v>16124682</v>
      </c>
      <c r="E1279" s="271">
        <f>E179</f>
        <v>18657908</v>
      </c>
    </row>
    <row r="1280" spans="1:5" x14ac:dyDescent="0.2">
      <c r="A1280" s="262" t="s">
        <v>238</v>
      </c>
      <c r="B1280" s="271">
        <f>B171</f>
        <v>0</v>
      </c>
      <c r="C1280" s="273">
        <f>C171</f>
        <v>0</v>
      </c>
      <c r="D1280" s="271">
        <f>D171</f>
        <v>0</v>
      </c>
      <c r="E1280" s="271">
        <f>E171</f>
        <v>0</v>
      </c>
    </row>
    <row r="1281" spans="1:7" ht="12" thickBot="1" x14ac:dyDescent="0.25">
      <c r="A1281" s="262" t="s">
        <v>239</v>
      </c>
      <c r="B1281" s="276">
        <f>SUM(B1275:B1280)</f>
        <v>211869673</v>
      </c>
      <c r="C1281" s="275">
        <f>SUM(C1275:C1280)</f>
        <v>233461326.67577502</v>
      </c>
      <c r="D1281" s="276">
        <f>SUM(D1275:D1280)</f>
        <v>238923587</v>
      </c>
      <c r="E1281" s="276">
        <f>SUM(E1275:E1280)</f>
        <v>253126713</v>
      </c>
    </row>
    <row r="1282" spans="1:7" ht="12" thickTop="1" x14ac:dyDescent="0.2"/>
    <row r="1283" spans="1:7" x14ac:dyDescent="0.2">
      <c r="A1283" s="278" t="s">
        <v>241</v>
      </c>
    </row>
    <row r="1284" spans="1:7" x14ac:dyDescent="0.2">
      <c r="A1284" s="248" t="s">
        <v>234</v>
      </c>
      <c r="B1284" s="271">
        <f>B1264-B1275</f>
        <v>0</v>
      </c>
      <c r="C1284" s="273">
        <f>C1264-C1275</f>
        <v>0</v>
      </c>
      <c r="D1284" s="271">
        <f>D1264-D1275</f>
        <v>0</v>
      </c>
      <c r="E1284" s="271">
        <f>E1264-E1275</f>
        <v>0</v>
      </c>
    </row>
    <row r="1285" spans="1:7" x14ac:dyDescent="0.2">
      <c r="A1285" s="248" t="s">
        <v>105</v>
      </c>
      <c r="B1285" s="271">
        <f t="shared" ref="B1285:D1289" si="203">B1265-B1276</f>
        <v>0</v>
      </c>
      <c r="C1285" s="273">
        <f t="shared" si="203"/>
        <v>0</v>
      </c>
      <c r="D1285" s="271">
        <f t="shared" si="203"/>
        <v>0</v>
      </c>
      <c r="E1285" s="271">
        <f t="shared" ref="E1285" si="204">E1265-E1276</f>
        <v>0</v>
      </c>
    </row>
    <row r="1286" spans="1:7" x14ac:dyDescent="0.2">
      <c r="A1286" s="248" t="s">
        <v>235</v>
      </c>
      <c r="B1286" s="271">
        <f t="shared" si="203"/>
        <v>0</v>
      </c>
      <c r="C1286" s="273">
        <f t="shared" si="203"/>
        <v>0</v>
      </c>
      <c r="D1286" s="271">
        <f t="shared" si="203"/>
        <v>0</v>
      </c>
      <c r="E1286" s="271">
        <f t="shared" ref="E1286" si="205">E1266-E1277</f>
        <v>0</v>
      </c>
    </row>
    <row r="1287" spans="1:7" x14ac:dyDescent="0.2">
      <c r="A1287" s="248" t="s">
        <v>236</v>
      </c>
      <c r="B1287" s="271">
        <f t="shared" si="203"/>
        <v>0</v>
      </c>
      <c r="C1287" s="273">
        <f t="shared" si="203"/>
        <v>0</v>
      </c>
      <c r="D1287" s="271">
        <f t="shared" si="203"/>
        <v>0</v>
      </c>
      <c r="E1287" s="271">
        <f t="shared" ref="E1287" si="206">E1267-E1278</f>
        <v>0</v>
      </c>
    </row>
    <row r="1288" spans="1:7" x14ac:dyDescent="0.2">
      <c r="A1288" s="262" t="s">
        <v>237</v>
      </c>
      <c r="B1288" s="271">
        <f t="shared" si="203"/>
        <v>0</v>
      </c>
      <c r="C1288" s="273">
        <f t="shared" si="203"/>
        <v>0</v>
      </c>
      <c r="D1288" s="271">
        <f t="shared" si="203"/>
        <v>0</v>
      </c>
      <c r="E1288" s="271">
        <f t="shared" ref="E1288" si="207">E1268-E1279</f>
        <v>0</v>
      </c>
    </row>
    <row r="1289" spans="1:7" x14ac:dyDescent="0.2">
      <c r="A1289" s="262" t="s">
        <v>238</v>
      </c>
      <c r="B1289" s="271">
        <f t="shared" si="203"/>
        <v>0</v>
      </c>
      <c r="C1289" s="273">
        <f t="shared" si="203"/>
        <v>0</v>
      </c>
      <c r="D1289" s="271">
        <f t="shared" si="203"/>
        <v>0</v>
      </c>
      <c r="E1289" s="271">
        <f t="shared" ref="E1289" si="208">E1269-E1280</f>
        <v>0</v>
      </c>
    </row>
    <row r="1290" spans="1:7" ht="12" thickBot="1" x14ac:dyDescent="0.25">
      <c r="A1290" s="262" t="s">
        <v>239</v>
      </c>
      <c r="B1290" s="276">
        <f>SUM(B1284:B1289)</f>
        <v>0</v>
      </c>
      <c r="C1290" s="275">
        <f>SUM(C1284:C1289)</f>
        <v>0</v>
      </c>
      <c r="D1290" s="276">
        <f>SUM(D1284:D1289)</f>
        <v>0</v>
      </c>
      <c r="E1290" s="276">
        <f>SUM(E1284:E1289)</f>
        <v>0</v>
      </c>
    </row>
    <row r="1291" spans="1:7" ht="12" thickTop="1" x14ac:dyDescent="0.2"/>
    <row r="1292" spans="1:7" x14ac:dyDescent="0.2">
      <c r="A1292" s="325"/>
      <c r="B1292" s="280"/>
      <c r="C1292" s="281"/>
      <c r="D1292" s="280"/>
      <c r="E1292" s="280"/>
      <c r="F1292" s="326"/>
      <c r="G1292" s="327"/>
    </row>
    <row r="1293" spans="1:7" x14ac:dyDescent="0.2">
      <c r="A1293" s="325"/>
      <c r="B1293" s="280"/>
      <c r="C1293" s="328"/>
      <c r="D1293" s="327"/>
      <c r="E1293" s="327"/>
      <c r="F1293" s="326"/>
      <c r="G1293" s="327"/>
    </row>
    <row r="1294" spans="1:7" x14ac:dyDescent="0.2">
      <c r="A1294" s="325"/>
      <c r="B1294" s="280"/>
      <c r="C1294" s="328"/>
      <c r="D1294" s="327"/>
      <c r="E1294" s="327"/>
      <c r="F1294" s="326"/>
      <c r="G1294" s="327"/>
    </row>
    <row r="1295" spans="1:7" x14ac:dyDescent="0.2">
      <c r="A1295" s="325"/>
      <c r="B1295" s="280"/>
      <c r="C1295" s="328"/>
      <c r="D1295" s="327"/>
      <c r="E1295" s="327"/>
      <c r="F1295" s="326"/>
      <c r="G1295" s="327"/>
    </row>
    <row r="1296" spans="1:7" x14ac:dyDescent="0.2">
      <c r="A1296" s="325"/>
      <c r="B1296" s="280"/>
      <c r="C1296" s="328"/>
      <c r="D1296" s="327"/>
      <c r="E1296" s="327"/>
      <c r="F1296" s="326"/>
      <c r="G1296" s="327"/>
    </row>
    <row r="1297" spans="1:7" x14ac:dyDescent="0.2">
      <c r="A1297" s="325"/>
      <c r="B1297" s="280"/>
      <c r="C1297" s="328"/>
      <c r="D1297" s="327"/>
      <c r="E1297" s="327"/>
      <c r="F1297" s="326"/>
      <c r="G1297" s="327"/>
    </row>
    <row r="1298" spans="1:7" x14ac:dyDescent="0.2">
      <c r="A1298" s="325"/>
      <c r="B1298" s="280"/>
      <c r="C1298" s="328"/>
      <c r="D1298" s="327"/>
      <c r="E1298" s="327"/>
      <c r="F1298" s="326"/>
      <c r="G1298" s="327"/>
    </row>
    <row r="1299" spans="1:7" x14ac:dyDescent="0.2">
      <c r="A1299" s="325"/>
      <c r="B1299" s="280"/>
      <c r="C1299" s="328"/>
      <c r="D1299" s="327"/>
      <c r="E1299" s="327"/>
      <c r="F1299" s="326"/>
      <c r="G1299" s="327"/>
    </row>
    <row r="1300" spans="1:7" x14ac:dyDescent="0.2">
      <c r="A1300" s="325"/>
      <c r="B1300" s="280"/>
      <c r="C1300" s="328"/>
      <c r="D1300" s="327"/>
      <c r="E1300" s="327"/>
      <c r="F1300" s="326"/>
      <c r="G1300" s="327"/>
    </row>
    <row r="1301" spans="1:7" x14ac:dyDescent="0.2">
      <c r="A1301" s="325"/>
      <c r="B1301" s="280"/>
      <c r="C1301" s="328"/>
      <c r="D1301" s="327"/>
      <c r="E1301" s="327"/>
      <c r="F1301" s="326"/>
      <c r="G1301" s="327"/>
    </row>
    <row r="1302" spans="1:7" x14ac:dyDescent="0.2">
      <c r="A1302" s="325"/>
      <c r="B1302" s="280"/>
      <c r="C1302" s="328"/>
      <c r="D1302" s="327"/>
      <c r="E1302" s="327"/>
      <c r="F1302" s="326"/>
      <c r="G1302" s="327"/>
    </row>
    <row r="1303" spans="1:7" x14ac:dyDescent="0.2">
      <c r="A1303" s="325"/>
      <c r="B1303" s="280"/>
      <c r="C1303" s="328"/>
      <c r="D1303" s="327"/>
      <c r="E1303" s="327"/>
      <c r="F1303" s="326"/>
      <c r="G1303" s="327"/>
    </row>
    <row r="1304" spans="1:7" x14ac:dyDescent="0.2">
      <c r="A1304" s="325"/>
      <c r="B1304" s="280"/>
      <c r="C1304" s="328"/>
      <c r="D1304" s="327"/>
      <c r="E1304" s="327"/>
      <c r="F1304" s="326"/>
      <c r="G1304" s="327"/>
    </row>
    <row r="1305" spans="1:7" x14ac:dyDescent="0.2">
      <c r="A1305" s="325"/>
      <c r="B1305" s="280"/>
      <c r="C1305" s="328"/>
      <c r="D1305" s="327"/>
      <c r="E1305" s="327"/>
      <c r="F1305" s="326"/>
      <c r="G1305" s="327"/>
    </row>
    <row r="1306" spans="1:7" x14ac:dyDescent="0.2">
      <c r="A1306" s="325"/>
      <c r="B1306" s="280"/>
      <c r="C1306" s="328"/>
      <c r="D1306" s="327"/>
      <c r="E1306" s="327"/>
      <c r="F1306" s="326"/>
      <c r="G1306" s="327"/>
    </row>
    <row r="1307" spans="1:7" x14ac:dyDescent="0.2">
      <c r="A1307" s="325"/>
      <c r="B1307" s="280"/>
      <c r="C1307" s="328"/>
      <c r="D1307" s="327"/>
      <c r="E1307" s="327"/>
      <c r="F1307" s="326"/>
      <c r="G1307" s="327"/>
    </row>
    <row r="1308" spans="1:7" x14ac:dyDescent="0.2">
      <c r="A1308" s="325"/>
      <c r="B1308" s="280"/>
      <c r="C1308" s="328"/>
      <c r="D1308" s="327"/>
      <c r="E1308" s="327"/>
      <c r="F1308" s="326"/>
      <c r="G1308" s="327"/>
    </row>
    <row r="1309" spans="1:7" x14ac:dyDescent="0.2">
      <c r="A1309" s="327"/>
      <c r="B1309" s="280"/>
      <c r="C1309" s="328"/>
      <c r="D1309" s="327"/>
      <c r="E1309" s="327"/>
      <c r="F1309" s="326"/>
      <c r="G1309" s="327"/>
    </row>
    <row r="1310" spans="1:7" x14ac:dyDescent="0.2">
      <c r="A1310" s="327"/>
      <c r="B1310" s="280"/>
      <c r="C1310" s="328"/>
      <c r="D1310" s="327"/>
      <c r="E1310" s="327"/>
      <c r="F1310" s="326"/>
      <c r="G1310" s="327"/>
    </row>
    <row r="1311" spans="1:7" x14ac:dyDescent="0.2">
      <c r="A1311" s="327"/>
      <c r="B1311" s="280"/>
      <c r="C1311" s="328"/>
      <c r="D1311" s="327"/>
      <c r="E1311" s="327"/>
      <c r="F1311" s="326"/>
      <c r="G1311" s="327"/>
    </row>
    <row r="1312" spans="1:7" x14ac:dyDescent="0.2">
      <c r="A1312" s="327"/>
      <c r="B1312" s="280"/>
      <c r="C1312" s="328"/>
      <c r="D1312" s="327"/>
      <c r="E1312" s="327"/>
      <c r="F1312" s="326"/>
      <c r="G1312" s="327"/>
    </row>
  </sheetData>
  <sheetProtection selectLockedCells="1"/>
  <mergeCells count="1">
    <mergeCell ref="A2:D2"/>
  </mergeCells>
  <phoneticPr fontId="0" type="noConversion"/>
  <pageMargins left="0.75" right="0.75" top="1" bottom="1" header="0.5" footer="0.5"/>
  <pageSetup scale="77" fitToHeight="0" orientation="portrait" r:id="rId1"/>
  <headerFooter alignWithMargins="0">
    <oddFooter>Page &amp;P of &amp;N</oddFooter>
  </headerFooter>
  <rowBreaks count="17" manualBreakCount="17">
    <brk id="77" max="5" man="1"/>
    <brk id="172" max="5" man="1"/>
    <brk id="248" max="16383" man="1"/>
    <brk id="313" max="16383" man="1"/>
    <brk id="385" max="5" man="1"/>
    <brk id="449" max="16383" man="1"/>
    <brk id="513" max="5" man="1"/>
    <brk id="584" max="5" man="1"/>
    <brk id="652" max="5" man="1"/>
    <brk id="738" max="16383" man="1"/>
    <brk id="798" max="16383" man="1"/>
    <brk id="869" max="5" man="1"/>
    <brk id="932" max="5" man="1"/>
    <brk id="986" max="5" man="1"/>
    <brk id="1046" max="5" man="1"/>
    <brk id="1109" max="5" man="1"/>
    <brk id="12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48"/>
  <sheetViews>
    <sheetView topLeftCell="A231" workbookViewId="0">
      <selection activeCell="C244" sqref="C244"/>
    </sheetView>
  </sheetViews>
  <sheetFormatPr defaultRowHeight="11.25" x14ac:dyDescent="0.2"/>
  <cols>
    <col min="1" max="1" width="40.28515625" style="137" customWidth="1"/>
    <col min="2" max="2" width="6.5703125" style="137" customWidth="1"/>
    <col min="3" max="3" width="14.42578125" style="137" customWidth="1"/>
    <col min="4" max="4" width="6.42578125" style="137" customWidth="1"/>
    <col min="5" max="5" width="10.7109375" style="137" bestFit="1" customWidth="1"/>
    <col min="6" max="6" width="9.85546875" style="137" bestFit="1" customWidth="1"/>
    <col min="7" max="7" width="11.28515625" style="137" customWidth="1"/>
    <col min="8" max="8" width="11.42578125" style="137" customWidth="1"/>
    <col min="9" max="9" width="9.28515625" style="137" bestFit="1" customWidth="1"/>
    <col min="10" max="10" width="10.42578125" style="137" bestFit="1" customWidth="1"/>
    <col min="11" max="11" width="9.85546875" style="137" bestFit="1" customWidth="1"/>
    <col min="12" max="13" width="9.28515625" style="137" bestFit="1" customWidth="1"/>
    <col min="14" max="14" width="10.42578125" style="137" bestFit="1" customWidth="1"/>
    <col min="15" max="16" width="9.28515625" style="137" bestFit="1" customWidth="1"/>
    <col min="17" max="16384" width="9.140625" style="137"/>
  </cols>
  <sheetData>
    <row r="2" spans="1:16" x14ac:dyDescent="0.2">
      <c r="A2" s="133" t="s">
        <v>171</v>
      </c>
      <c r="B2" s="134"/>
      <c r="C2" s="134"/>
      <c r="D2" s="134"/>
      <c r="E2" s="134"/>
      <c r="F2" s="135"/>
      <c r="G2" s="135"/>
      <c r="H2" s="134"/>
      <c r="I2" s="134"/>
      <c r="J2" s="134"/>
      <c r="K2" s="134"/>
      <c r="L2" s="134"/>
      <c r="M2" s="134"/>
      <c r="N2" s="134"/>
      <c r="O2" s="134"/>
      <c r="P2" s="136"/>
    </row>
    <row r="3" spans="1:16" x14ac:dyDescent="0.2">
      <c r="A3" s="133" t="s">
        <v>533</v>
      </c>
      <c r="B3" s="134"/>
      <c r="C3" s="134"/>
      <c r="D3" s="134"/>
      <c r="E3" s="134"/>
      <c r="F3" s="134"/>
      <c r="G3" s="138">
        <f ca="1">NOW()</f>
        <v>43011.405967361112</v>
      </c>
      <c r="H3" s="134"/>
      <c r="I3" s="134"/>
      <c r="J3" s="134"/>
      <c r="K3" s="134"/>
      <c r="L3" s="134"/>
      <c r="M3" s="134"/>
      <c r="N3" s="134"/>
      <c r="O3" s="134"/>
      <c r="P3" s="136"/>
    </row>
    <row r="4" spans="1:16" x14ac:dyDescent="0.2">
      <c r="A4" s="134"/>
      <c r="B4" s="134"/>
      <c r="C4" s="134"/>
      <c r="D4" s="134"/>
      <c r="E4" s="134"/>
      <c r="F4" s="134"/>
      <c r="G4" s="139">
        <f ca="1">NOW()</f>
        <v>43011.405967361112</v>
      </c>
      <c r="H4" s="134"/>
      <c r="I4" s="134"/>
      <c r="J4" s="134"/>
      <c r="K4" s="134"/>
      <c r="L4" s="134"/>
      <c r="M4" s="134"/>
      <c r="N4" s="134"/>
      <c r="O4" s="134"/>
      <c r="P4" s="136"/>
    </row>
    <row r="5" spans="1:16" x14ac:dyDescent="0.2">
      <c r="A5" s="134" t="s">
        <v>173</v>
      </c>
      <c r="B5" s="140">
        <v>7.0000000000000007E-2</v>
      </c>
      <c r="C5" s="134" t="s">
        <v>174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6"/>
    </row>
    <row r="6" spans="1:16" x14ac:dyDescent="0.2">
      <c r="A6" s="134" t="s">
        <v>175</v>
      </c>
      <c r="B6" s="140">
        <v>7.0000000000000007E-2</v>
      </c>
      <c r="C6" s="134" t="s">
        <v>174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6"/>
    </row>
    <row r="7" spans="1:16" x14ac:dyDescent="0.2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6"/>
    </row>
    <row r="8" spans="1:16" x14ac:dyDescent="0.2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6"/>
    </row>
    <row r="9" spans="1:16" x14ac:dyDescent="0.2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6"/>
    </row>
    <row r="10" spans="1:16" x14ac:dyDescent="0.2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6"/>
    </row>
    <row r="11" spans="1:16" x14ac:dyDescent="0.2">
      <c r="A11" s="135" t="s">
        <v>130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6"/>
    </row>
    <row r="12" spans="1:16" x14ac:dyDescent="0.2">
      <c r="A12" s="134"/>
      <c r="B12" s="134"/>
      <c r="C12" s="134" t="s">
        <v>176</v>
      </c>
      <c r="D12" s="141" t="s">
        <v>177</v>
      </c>
      <c r="E12" s="141" t="s">
        <v>178</v>
      </c>
      <c r="F12" s="141" t="s">
        <v>179</v>
      </c>
      <c r="G12" s="141" t="s">
        <v>180</v>
      </c>
      <c r="H12" s="141" t="s">
        <v>181</v>
      </c>
      <c r="I12" s="141" t="s">
        <v>182</v>
      </c>
      <c r="J12" s="141" t="s">
        <v>183</v>
      </c>
      <c r="K12" s="141" t="s">
        <v>184</v>
      </c>
      <c r="L12" s="141" t="s">
        <v>185</v>
      </c>
      <c r="M12" s="141" t="s">
        <v>186</v>
      </c>
      <c r="N12" s="141" t="s">
        <v>187</v>
      </c>
      <c r="O12" s="141"/>
      <c r="P12" s="136" t="s">
        <v>164</v>
      </c>
    </row>
    <row r="13" spans="1:16" x14ac:dyDescent="0.2">
      <c r="A13" s="134"/>
      <c r="B13" s="134"/>
      <c r="C13" s="134"/>
      <c r="D13" s="141" t="s">
        <v>188</v>
      </c>
      <c r="E13" s="141" t="s">
        <v>189</v>
      </c>
      <c r="F13" s="141"/>
      <c r="G13" s="141" t="s">
        <v>190</v>
      </c>
      <c r="H13" s="141" t="s">
        <v>190</v>
      </c>
      <c r="I13" s="141" t="s">
        <v>191</v>
      </c>
      <c r="J13" s="141"/>
      <c r="K13" s="141" t="s">
        <v>192</v>
      </c>
      <c r="L13" s="141" t="s">
        <v>193</v>
      </c>
      <c r="M13" s="141" t="s">
        <v>194</v>
      </c>
      <c r="N13" s="141" t="s">
        <v>195</v>
      </c>
      <c r="O13" s="141"/>
      <c r="P13" s="136"/>
    </row>
    <row r="14" spans="1:16" x14ac:dyDescent="0.2">
      <c r="A14" s="134" t="s">
        <v>674</v>
      </c>
      <c r="B14" s="142"/>
      <c r="C14" s="142" t="s">
        <v>535</v>
      </c>
      <c r="D14" s="142">
        <v>2</v>
      </c>
      <c r="E14" s="136">
        <f>SUM(F14:P14)</f>
        <v>1011804.6731000001</v>
      </c>
      <c r="F14" s="136">
        <f>47129*(B$5+1)*12</f>
        <v>605136.3600000001</v>
      </c>
      <c r="G14" s="136">
        <f t="shared" ref="G14:G15" si="0">F14*0.22</f>
        <v>133129.99920000002</v>
      </c>
      <c r="H14" s="136">
        <f>3871*(B$6+1)*12</f>
        <v>49703.64</v>
      </c>
      <c r="I14" s="136">
        <f>700*12</f>
        <v>8400</v>
      </c>
      <c r="J14" s="143">
        <v>1926</v>
      </c>
      <c r="K14" s="136">
        <f>12900*12</f>
        <v>154800</v>
      </c>
      <c r="L14" s="136">
        <v>93</v>
      </c>
      <c r="M14" s="136">
        <f t="shared" ref="M14:M15" si="1">(N14+I14+K14+F14)*0.01</f>
        <v>8187.6439000000018</v>
      </c>
      <c r="N14" s="136">
        <f t="shared" ref="N14:N15" si="2">F14/12</f>
        <v>50428.030000000006</v>
      </c>
      <c r="O14" s="136"/>
      <c r="P14" s="144"/>
    </row>
    <row r="15" spans="1:16" x14ac:dyDescent="0.2">
      <c r="A15" s="134" t="s">
        <v>675</v>
      </c>
      <c r="B15" s="134"/>
      <c r="C15" s="134" t="s">
        <v>526</v>
      </c>
      <c r="D15" s="134">
        <v>5</v>
      </c>
      <c r="E15" s="136">
        <f t="shared" ref="E15:E18" si="3">SUM(F15:P15)</f>
        <v>596779.78610000003</v>
      </c>
      <c r="F15" s="136">
        <f>31799*(B$5+1)*12</f>
        <v>408299.16000000003</v>
      </c>
      <c r="G15" s="136">
        <f t="shared" si="0"/>
        <v>89825.815200000012</v>
      </c>
      <c r="H15" s="136">
        <f t="shared" ref="H15" si="4">3871*(B$6+1)*12</f>
        <v>49703.64</v>
      </c>
      <c r="I15" s="136">
        <f>700*12</f>
        <v>8400</v>
      </c>
      <c r="J15" s="143">
        <v>1926</v>
      </c>
      <c r="K15" s="136">
        <v>0</v>
      </c>
      <c r="L15" s="136">
        <v>93</v>
      </c>
      <c r="M15" s="136">
        <f t="shared" si="1"/>
        <v>4507.2409000000007</v>
      </c>
      <c r="N15" s="136">
        <f t="shared" si="2"/>
        <v>34024.93</v>
      </c>
      <c r="O15" s="136"/>
      <c r="P15" s="136"/>
    </row>
    <row r="16" spans="1:16" s="148" customFormat="1" x14ac:dyDescent="0.2">
      <c r="A16" s="145" t="s">
        <v>676</v>
      </c>
      <c r="B16" s="145"/>
      <c r="C16" s="145" t="s">
        <v>34</v>
      </c>
      <c r="D16" s="145">
        <v>5</v>
      </c>
      <c r="E16" s="146"/>
      <c r="F16" s="146"/>
      <c r="G16" s="146"/>
      <c r="H16" s="146"/>
      <c r="I16" s="146"/>
      <c r="J16" s="147"/>
      <c r="K16" s="146"/>
      <c r="L16" s="146"/>
      <c r="M16" s="146"/>
      <c r="N16" s="146"/>
      <c r="O16" s="146"/>
      <c r="P16" s="146"/>
    </row>
    <row r="17" spans="1:16" s="148" customFormat="1" x14ac:dyDescent="0.2">
      <c r="A17" s="145" t="s">
        <v>677</v>
      </c>
      <c r="B17" s="145"/>
      <c r="C17" s="145" t="s">
        <v>34</v>
      </c>
      <c r="D17" s="145">
        <v>8</v>
      </c>
      <c r="E17" s="146"/>
      <c r="F17" s="146"/>
      <c r="G17" s="146"/>
      <c r="H17" s="146"/>
      <c r="I17" s="146"/>
      <c r="J17" s="147"/>
      <c r="K17" s="146"/>
      <c r="L17" s="146"/>
      <c r="M17" s="146"/>
      <c r="N17" s="146"/>
      <c r="O17" s="146"/>
      <c r="P17" s="146"/>
    </row>
    <row r="18" spans="1:16" x14ac:dyDescent="0.2">
      <c r="A18" s="134" t="s">
        <v>329</v>
      </c>
      <c r="B18" s="134"/>
      <c r="C18" s="134"/>
      <c r="D18" s="134"/>
      <c r="E18" s="136">
        <f t="shared" si="3"/>
        <v>0</v>
      </c>
      <c r="F18" s="136"/>
      <c r="G18" s="136"/>
      <c r="H18" s="136"/>
      <c r="I18" s="136"/>
      <c r="J18" s="143"/>
      <c r="K18" s="136"/>
      <c r="L18" s="136"/>
      <c r="M18" s="136"/>
      <c r="N18" s="136"/>
      <c r="O18" s="136"/>
      <c r="P18" s="136"/>
    </row>
    <row r="19" spans="1:16" x14ac:dyDescent="0.2">
      <c r="A19" s="134" t="s">
        <v>164</v>
      </c>
      <c r="B19" s="134"/>
      <c r="C19" s="134" t="s">
        <v>164</v>
      </c>
      <c r="D19" s="134"/>
      <c r="E19" s="136">
        <f t="shared" ref="E19" si="5">SUM(F19:P19)</f>
        <v>104800</v>
      </c>
      <c r="F19" s="136"/>
      <c r="G19" s="136"/>
      <c r="H19" s="136"/>
      <c r="I19" s="136"/>
      <c r="J19" s="143"/>
      <c r="K19" s="136"/>
      <c r="L19" s="136"/>
      <c r="M19" s="136"/>
      <c r="N19" s="136"/>
      <c r="O19" s="136"/>
      <c r="P19" s="136">
        <v>104800</v>
      </c>
    </row>
    <row r="20" spans="1:16" ht="12" thickBot="1" x14ac:dyDescent="0.25">
      <c r="A20" s="134"/>
      <c r="B20" s="134"/>
      <c r="C20" s="134"/>
      <c r="D20" s="134"/>
      <c r="E20" s="149">
        <f t="shared" ref="E20:N20" si="6">SUM(E14:E19)</f>
        <v>1713384.4592000002</v>
      </c>
      <c r="F20" s="149">
        <f t="shared" si="6"/>
        <v>1013435.5200000001</v>
      </c>
      <c r="G20" s="149">
        <f t="shared" si="6"/>
        <v>222955.81440000003</v>
      </c>
      <c r="H20" s="149">
        <f t="shared" si="6"/>
        <v>99407.28</v>
      </c>
      <c r="I20" s="149">
        <f t="shared" si="6"/>
        <v>16800</v>
      </c>
      <c r="J20" s="149">
        <f t="shared" si="6"/>
        <v>3852</v>
      </c>
      <c r="K20" s="149">
        <f t="shared" si="6"/>
        <v>154800</v>
      </c>
      <c r="L20" s="149">
        <f t="shared" si="6"/>
        <v>186</v>
      </c>
      <c r="M20" s="149">
        <f t="shared" si="6"/>
        <v>12694.884800000003</v>
      </c>
      <c r="N20" s="149">
        <f t="shared" si="6"/>
        <v>84452.96</v>
      </c>
      <c r="O20" s="149"/>
      <c r="P20" s="149">
        <f>SUM(P14:P19)</f>
        <v>104800</v>
      </c>
    </row>
    <row r="21" spans="1:16" ht="12" thickTop="1" x14ac:dyDescent="0.2">
      <c r="A21" s="134"/>
      <c r="B21" s="134"/>
      <c r="C21" s="134" t="s">
        <v>199</v>
      </c>
      <c r="D21" s="134">
        <f>COUNT(D14:D19)</f>
        <v>4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6"/>
    </row>
    <row r="22" spans="1:16" x14ac:dyDescent="0.2">
      <c r="A22" s="135" t="s">
        <v>134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6"/>
    </row>
    <row r="23" spans="1:16" x14ac:dyDescent="0.2">
      <c r="A23" s="134"/>
      <c r="B23" s="134"/>
      <c r="C23" s="134" t="s">
        <v>176</v>
      </c>
      <c r="D23" s="141" t="s">
        <v>177</v>
      </c>
      <c r="E23" s="141" t="s">
        <v>178</v>
      </c>
      <c r="F23" s="141" t="s">
        <v>179</v>
      </c>
      <c r="G23" s="141" t="s">
        <v>180</v>
      </c>
      <c r="H23" s="141" t="s">
        <v>181</v>
      </c>
      <c r="I23" s="141" t="s">
        <v>182</v>
      </c>
      <c r="J23" s="141" t="s">
        <v>183</v>
      </c>
      <c r="K23" s="141" t="s">
        <v>184</v>
      </c>
      <c r="L23" s="141" t="s">
        <v>185</v>
      </c>
      <c r="M23" s="141" t="s">
        <v>186</v>
      </c>
      <c r="N23" s="141" t="s">
        <v>187</v>
      </c>
      <c r="O23" s="141"/>
      <c r="P23" s="136" t="s">
        <v>164</v>
      </c>
    </row>
    <row r="24" spans="1:16" x14ac:dyDescent="0.2">
      <c r="A24" s="134"/>
      <c r="B24" s="134"/>
      <c r="C24" s="134"/>
      <c r="D24" s="141" t="s">
        <v>188</v>
      </c>
      <c r="E24" s="141" t="s">
        <v>189</v>
      </c>
      <c r="F24" s="141"/>
      <c r="G24" s="141" t="s">
        <v>190</v>
      </c>
      <c r="H24" s="141" t="s">
        <v>190</v>
      </c>
      <c r="I24" s="141" t="s">
        <v>191</v>
      </c>
      <c r="J24" s="141"/>
      <c r="K24" s="141" t="s">
        <v>192</v>
      </c>
      <c r="L24" s="141" t="s">
        <v>193</v>
      </c>
      <c r="M24" s="141" t="s">
        <v>194</v>
      </c>
      <c r="N24" s="141" t="s">
        <v>195</v>
      </c>
      <c r="O24" s="141"/>
      <c r="P24" s="136"/>
    </row>
    <row r="25" spans="1:16" x14ac:dyDescent="0.2">
      <c r="A25" s="134" t="s">
        <v>679</v>
      </c>
      <c r="B25" s="134"/>
      <c r="C25" s="134" t="s">
        <v>341</v>
      </c>
      <c r="D25" s="142">
        <v>2</v>
      </c>
      <c r="E25" s="136">
        <f>SUM(F25:P25)</f>
        <v>1011804.6731000001</v>
      </c>
      <c r="F25" s="136">
        <f>47129*(B$5+1)*12</f>
        <v>605136.3600000001</v>
      </c>
      <c r="G25" s="136">
        <f>F25*0.22</f>
        <v>133129.99920000002</v>
      </c>
      <c r="H25" s="136">
        <f t="shared" ref="H25:H38" si="7">3871*(B$6+1)*12</f>
        <v>49703.64</v>
      </c>
      <c r="I25" s="136">
        <f t="shared" ref="I25:I38" si="8">700*12</f>
        <v>8400</v>
      </c>
      <c r="J25" s="143">
        <v>1926</v>
      </c>
      <c r="K25" s="136">
        <f>12900*12</f>
        <v>154800</v>
      </c>
      <c r="L25" s="136">
        <v>93</v>
      </c>
      <c r="M25" s="136">
        <f>(N25+I25+K25+F25)*0.01</f>
        <v>8187.6439000000018</v>
      </c>
      <c r="N25" s="136">
        <f>F25/12</f>
        <v>50428.030000000006</v>
      </c>
      <c r="O25" s="136"/>
      <c r="P25" s="136"/>
    </row>
    <row r="26" spans="1:16" x14ac:dyDescent="0.2">
      <c r="A26" s="145" t="s">
        <v>680</v>
      </c>
      <c r="B26" s="145"/>
      <c r="C26" s="145" t="s">
        <v>34</v>
      </c>
      <c r="D26" s="145">
        <v>3</v>
      </c>
      <c r="E26" s="136"/>
      <c r="F26" s="136"/>
      <c r="G26" s="136"/>
      <c r="H26" s="136"/>
      <c r="I26" s="136"/>
      <c r="J26" s="143"/>
      <c r="K26" s="136"/>
      <c r="L26" s="136"/>
      <c r="M26" s="136"/>
      <c r="N26" s="136"/>
      <c r="O26" s="136"/>
      <c r="P26" s="136"/>
    </row>
    <row r="27" spans="1:16" x14ac:dyDescent="0.2">
      <c r="A27" s="145" t="s">
        <v>680</v>
      </c>
      <c r="B27" s="145"/>
      <c r="C27" s="145" t="s">
        <v>34</v>
      </c>
      <c r="D27" s="145">
        <v>3</v>
      </c>
      <c r="E27" s="136"/>
      <c r="F27" s="136"/>
      <c r="G27" s="136"/>
      <c r="H27" s="136"/>
      <c r="I27" s="136"/>
      <c r="J27" s="143"/>
      <c r="K27" s="136"/>
      <c r="L27" s="136"/>
      <c r="M27" s="136"/>
      <c r="N27" s="136"/>
      <c r="O27" s="136"/>
      <c r="P27" s="136"/>
    </row>
    <row r="28" spans="1:16" x14ac:dyDescent="0.2">
      <c r="A28" s="145" t="s">
        <v>681</v>
      </c>
      <c r="B28" s="145"/>
      <c r="C28" s="145" t="s">
        <v>34</v>
      </c>
      <c r="D28" s="145">
        <v>3</v>
      </c>
      <c r="E28" s="136"/>
      <c r="F28" s="136"/>
      <c r="G28" s="136"/>
      <c r="H28" s="136"/>
      <c r="I28" s="136"/>
      <c r="J28" s="143"/>
      <c r="K28" s="136"/>
      <c r="L28" s="136"/>
      <c r="M28" s="136"/>
      <c r="N28" s="136"/>
      <c r="O28" s="136"/>
      <c r="P28" s="136"/>
    </row>
    <row r="29" spans="1:16" x14ac:dyDescent="0.2">
      <c r="A29" s="145" t="s">
        <v>682</v>
      </c>
      <c r="B29" s="145"/>
      <c r="C29" s="145" t="s">
        <v>34</v>
      </c>
      <c r="D29" s="145">
        <v>8</v>
      </c>
      <c r="E29" s="136"/>
      <c r="F29" s="136"/>
      <c r="G29" s="136"/>
      <c r="H29" s="136"/>
      <c r="I29" s="136"/>
      <c r="J29" s="143"/>
      <c r="K29" s="136"/>
      <c r="L29" s="136"/>
      <c r="M29" s="136"/>
      <c r="N29" s="136"/>
      <c r="O29" s="136"/>
      <c r="P29" s="136"/>
    </row>
    <row r="30" spans="1:16" x14ac:dyDescent="0.2">
      <c r="A30" s="145" t="s">
        <v>682</v>
      </c>
      <c r="B30" s="145"/>
      <c r="C30" s="145" t="s">
        <v>34</v>
      </c>
      <c r="D30" s="145">
        <v>8</v>
      </c>
      <c r="E30" s="136"/>
      <c r="F30" s="136"/>
      <c r="G30" s="136"/>
      <c r="H30" s="136"/>
      <c r="I30" s="136"/>
      <c r="J30" s="143"/>
      <c r="K30" s="136"/>
      <c r="L30" s="136"/>
      <c r="M30" s="136"/>
      <c r="N30" s="136"/>
      <c r="O30" s="136"/>
      <c r="P30" s="136"/>
    </row>
    <row r="31" spans="1:16" x14ac:dyDescent="0.2">
      <c r="A31" s="145" t="s">
        <v>682</v>
      </c>
      <c r="B31" s="145"/>
      <c r="C31" s="145" t="s">
        <v>34</v>
      </c>
      <c r="D31" s="145">
        <v>8</v>
      </c>
      <c r="E31" s="136"/>
      <c r="F31" s="136"/>
      <c r="G31" s="136"/>
      <c r="H31" s="136"/>
      <c r="I31" s="136"/>
      <c r="J31" s="143"/>
      <c r="K31" s="136"/>
      <c r="L31" s="136"/>
      <c r="M31" s="136"/>
      <c r="N31" s="136"/>
      <c r="O31" s="136"/>
      <c r="P31" s="136"/>
    </row>
    <row r="32" spans="1:16" x14ac:dyDescent="0.2">
      <c r="A32" s="134" t="s">
        <v>19</v>
      </c>
      <c r="B32" s="134"/>
      <c r="C32" s="134" t="s">
        <v>340</v>
      </c>
      <c r="D32" s="134">
        <v>8</v>
      </c>
      <c r="E32" s="136">
        <f t="shared" ref="E32:E40" si="9">SUM(F32:P32)</f>
        <v>531012.11050000007</v>
      </c>
      <c r="F32" s="136">
        <f>21595*(B$5+1)*12</f>
        <v>277279.80000000005</v>
      </c>
      <c r="G32" s="136">
        <f t="shared" ref="G32:G35" si="10">F32*0.22</f>
        <v>61001.556000000011</v>
      </c>
      <c r="H32" s="136">
        <f t="shared" si="7"/>
        <v>49703.64</v>
      </c>
      <c r="I32" s="136">
        <f t="shared" si="8"/>
        <v>8400</v>
      </c>
      <c r="J32" s="143">
        <v>1926</v>
      </c>
      <c r="K32" s="136">
        <f>8780*12</f>
        <v>105360</v>
      </c>
      <c r="L32" s="136">
        <v>93</v>
      </c>
      <c r="M32" s="136">
        <f t="shared" ref="M32:M35" si="11">(N32+I32+K32+F32)*0.01</f>
        <v>4141.464500000001</v>
      </c>
      <c r="N32" s="136">
        <f t="shared" ref="N32:N35" si="12">F32/12</f>
        <v>23106.650000000005</v>
      </c>
      <c r="O32" s="136"/>
      <c r="P32" s="136"/>
    </row>
    <row r="33" spans="1:16" x14ac:dyDescent="0.2">
      <c r="A33" s="134" t="s">
        <v>19</v>
      </c>
      <c r="B33" s="134"/>
      <c r="C33" s="134" t="s">
        <v>364</v>
      </c>
      <c r="D33" s="134">
        <v>8</v>
      </c>
      <c r="E33" s="136">
        <f t="shared" si="9"/>
        <v>424598.51050000009</v>
      </c>
      <c r="F33" s="136">
        <f>21595*(B$5+1)*12</f>
        <v>277279.80000000005</v>
      </c>
      <c r="G33" s="136">
        <f>F33*0.22</f>
        <v>61001.556000000011</v>
      </c>
      <c r="H33" s="136">
        <f t="shared" si="7"/>
        <v>49703.64</v>
      </c>
      <c r="I33" s="136">
        <f t="shared" si="8"/>
        <v>8400</v>
      </c>
      <c r="J33" s="143">
        <v>1926</v>
      </c>
      <c r="K33" s="136">
        <v>0</v>
      </c>
      <c r="L33" s="136">
        <v>93</v>
      </c>
      <c r="M33" s="136">
        <f>(N33+I33+K33+F33)*0.01</f>
        <v>3087.8645000000006</v>
      </c>
      <c r="N33" s="136">
        <f>F33/12</f>
        <v>23106.650000000005</v>
      </c>
      <c r="O33" s="136"/>
      <c r="P33" s="136"/>
    </row>
    <row r="34" spans="1:16" x14ac:dyDescent="0.2">
      <c r="A34" s="134" t="s">
        <v>19</v>
      </c>
      <c r="B34" s="134"/>
      <c r="C34" s="134" t="s">
        <v>339</v>
      </c>
      <c r="D34" s="134">
        <v>8</v>
      </c>
      <c r="E34" s="136">
        <f t="shared" si="9"/>
        <v>531012.11050000007</v>
      </c>
      <c r="F34" s="136">
        <f>21595*(B$5+1)*12</f>
        <v>277279.80000000005</v>
      </c>
      <c r="G34" s="136">
        <f t="shared" ref="G34" si="13">F34*0.22</f>
        <v>61001.556000000011</v>
      </c>
      <c r="H34" s="136">
        <f t="shared" si="7"/>
        <v>49703.64</v>
      </c>
      <c r="I34" s="136">
        <f t="shared" si="8"/>
        <v>8400</v>
      </c>
      <c r="J34" s="143">
        <v>1926</v>
      </c>
      <c r="K34" s="136">
        <f>8780*12</f>
        <v>105360</v>
      </c>
      <c r="L34" s="136">
        <v>93</v>
      </c>
      <c r="M34" s="136">
        <f t="shared" ref="M34" si="14">(N34+I34+K34+F34)*0.01</f>
        <v>4141.464500000001</v>
      </c>
      <c r="N34" s="136">
        <f t="shared" ref="N34" si="15">F34/12</f>
        <v>23106.650000000005</v>
      </c>
      <c r="O34" s="136"/>
      <c r="P34" s="136"/>
    </row>
    <row r="35" spans="1:16" x14ac:dyDescent="0.2">
      <c r="A35" s="134" t="s">
        <v>19</v>
      </c>
      <c r="B35" s="134"/>
      <c r="C35" s="134" t="s">
        <v>337</v>
      </c>
      <c r="D35" s="134">
        <v>8</v>
      </c>
      <c r="E35" s="136">
        <f t="shared" si="9"/>
        <v>531012.11050000007</v>
      </c>
      <c r="F35" s="136">
        <f>21595*(B$5+1)*12</f>
        <v>277279.80000000005</v>
      </c>
      <c r="G35" s="136">
        <f t="shared" si="10"/>
        <v>61001.556000000011</v>
      </c>
      <c r="H35" s="136">
        <f t="shared" si="7"/>
        <v>49703.64</v>
      </c>
      <c r="I35" s="136">
        <f t="shared" si="8"/>
        <v>8400</v>
      </c>
      <c r="J35" s="143">
        <v>1926</v>
      </c>
      <c r="K35" s="136">
        <f t="shared" ref="K35:K36" si="16">8780*12</f>
        <v>105360</v>
      </c>
      <c r="L35" s="136">
        <v>93</v>
      </c>
      <c r="M35" s="136">
        <f t="shared" si="11"/>
        <v>4141.464500000001</v>
      </c>
      <c r="N35" s="136">
        <f t="shared" si="12"/>
        <v>23106.650000000005</v>
      </c>
      <c r="O35" s="136"/>
      <c r="P35" s="136"/>
    </row>
    <row r="36" spans="1:16" x14ac:dyDescent="0.2">
      <c r="A36" s="134" t="s">
        <v>435</v>
      </c>
      <c r="B36" s="134"/>
      <c r="C36" s="134" t="s">
        <v>338</v>
      </c>
      <c r="D36" s="134">
        <v>8</v>
      </c>
      <c r="E36" s="136">
        <f>SUM(F36:P36)</f>
        <v>531012.11050000007</v>
      </c>
      <c r="F36" s="136">
        <f>21595*(B$5+1)*12</f>
        <v>277279.80000000005</v>
      </c>
      <c r="G36" s="136">
        <f>F36*0.22</f>
        <v>61001.556000000011</v>
      </c>
      <c r="H36" s="136">
        <f t="shared" si="7"/>
        <v>49703.64</v>
      </c>
      <c r="I36" s="136">
        <f t="shared" si="8"/>
        <v>8400</v>
      </c>
      <c r="J36" s="143">
        <v>1926</v>
      </c>
      <c r="K36" s="136">
        <f t="shared" si="16"/>
        <v>105360</v>
      </c>
      <c r="L36" s="136">
        <v>93</v>
      </c>
      <c r="M36" s="136">
        <f>(N36+I36+K36+F36)*0.01</f>
        <v>4141.464500000001</v>
      </c>
      <c r="N36" s="136">
        <f>F36/12</f>
        <v>23106.650000000005</v>
      </c>
      <c r="O36" s="136"/>
      <c r="P36" s="136"/>
    </row>
    <row r="37" spans="1:16" x14ac:dyDescent="0.2">
      <c r="A37" s="134" t="s">
        <v>525</v>
      </c>
      <c r="B37" s="134"/>
      <c r="C37" s="134" t="s">
        <v>356</v>
      </c>
      <c r="D37" s="134">
        <v>5</v>
      </c>
      <c r="E37" s="136">
        <f t="shared" ref="E37" si="17">SUM(F37:P37)</f>
        <v>715422.54520000005</v>
      </c>
      <c r="F37" s="136">
        <f>31799*(B$5+1)*12</f>
        <v>408299.16000000003</v>
      </c>
      <c r="G37" s="136">
        <f t="shared" ref="G37" si="18">F37*0.22</f>
        <v>89825.815200000012</v>
      </c>
      <c r="H37" s="136">
        <f t="shared" si="7"/>
        <v>49703.64</v>
      </c>
      <c r="I37" s="136">
        <f>700*12</f>
        <v>8400</v>
      </c>
      <c r="J37" s="143">
        <v>1926</v>
      </c>
      <c r="K37" s="136">
        <f>10080*12</f>
        <v>120960</v>
      </c>
      <c r="L37" s="136">
        <v>93</v>
      </c>
      <c r="M37" s="136">
        <v>2190</v>
      </c>
      <c r="N37" s="136">
        <f t="shared" ref="N37" si="19">F37/12</f>
        <v>34024.93</v>
      </c>
      <c r="O37" s="136"/>
      <c r="P37" s="136"/>
    </row>
    <row r="38" spans="1:16" x14ac:dyDescent="0.2">
      <c r="A38" s="134" t="s">
        <v>434</v>
      </c>
      <c r="B38" s="134"/>
      <c r="C38" s="134" t="s">
        <v>483</v>
      </c>
      <c r="D38" s="134">
        <v>8</v>
      </c>
      <c r="E38" s="136">
        <f>SUM(F38:P38)</f>
        <v>406897.78940000001</v>
      </c>
      <c r="F38" s="136">
        <f>20546*(B$5+1)*12</f>
        <v>263810.64</v>
      </c>
      <c r="G38" s="136">
        <f>F38*0.22</f>
        <v>58038.340800000005</v>
      </c>
      <c r="H38" s="136">
        <f t="shared" si="7"/>
        <v>49703.64</v>
      </c>
      <c r="I38" s="136">
        <f t="shared" si="8"/>
        <v>8400</v>
      </c>
      <c r="J38" s="143">
        <v>1926</v>
      </c>
      <c r="K38" s="136">
        <v>0</v>
      </c>
      <c r="L38" s="136">
        <v>93</v>
      </c>
      <c r="M38" s="136">
        <f>(N38+I38+K38+F38)*0.01</f>
        <v>2941.9485999999997</v>
      </c>
      <c r="N38" s="136">
        <f>F38/12</f>
        <v>21984.22</v>
      </c>
      <c r="O38" s="136"/>
      <c r="P38" s="136"/>
    </row>
    <row r="39" spans="1:16" x14ac:dyDescent="0.2">
      <c r="A39" s="134" t="s">
        <v>329</v>
      </c>
      <c r="B39" s="134"/>
      <c r="C39" s="134"/>
      <c r="D39" s="134"/>
      <c r="E39" s="136">
        <f>SUM(F39:P39)</f>
        <v>0</v>
      </c>
      <c r="F39" s="136"/>
      <c r="G39" s="136"/>
      <c r="H39" s="136"/>
      <c r="I39" s="136"/>
      <c r="J39" s="143"/>
      <c r="K39" s="136"/>
      <c r="L39" s="136"/>
      <c r="M39" s="136"/>
      <c r="N39" s="136"/>
      <c r="O39" s="136"/>
      <c r="P39" s="136"/>
    </row>
    <row r="40" spans="1:16" x14ac:dyDescent="0.2">
      <c r="A40" s="134" t="s">
        <v>164</v>
      </c>
      <c r="B40" s="134"/>
      <c r="C40" s="134" t="s">
        <v>164</v>
      </c>
      <c r="D40" s="134"/>
      <c r="E40" s="136">
        <f t="shared" si="9"/>
        <v>64800</v>
      </c>
      <c r="F40" s="136"/>
      <c r="G40" s="136"/>
      <c r="H40" s="136"/>
      <c r="I40" s="136"/>
      <c r="J40" s="143"/>
      <c r="K40" s="136"/>
      <c r="L40" s="136"/>
      <c r="M40" s="136"/>
      <c r="N40" s="136"/>
      <c r="O40" s="136"/>
      <c r="P40" s="136">
        <v>64800</v>
      </c>
    </row>
    <row r="41" spans="1:16" ht="12" thickBot="1" x14ac:dyDescent="0.25">
      <c r="A41" s="134"/>
      <c r="B41" s="134"/>
      <c r="C41" s="134"/>
      <c r="D41" s="134"/>
      <c r="E41" s="149">
        <f t="shared" ref="E41:N41" si="20">SUM(E25:E40)</f>
        <v>4747571.9602000006</v>
      </c>
      <c r="F41" s="149">
        <f t="shared" si="20"/>
        <v>2663645.1600000006</v>
      </c>
      <c r="G41" s="149">
        <f t="shared" si="20"/>
        <v>586001.93520000007</v>
      </c>
      <c r="H41" s="149">
        <f t="shared" si="20"/>
        <v>397629.12000000005</v>
      </c>
      <c r="I41" s="149">
        <f t="shared" si="20"/>
        <v>67200</v>
      </c>
      <c r="J41" s="149">
        <f t="shared" si="20"/>
        <v>15408</v>
      </c>
      <c r="K41" s="149">
        <f t="shared" si="20"/>
        <v>697200</v>
      </c>
      <c r="L41" s="149">
        <f t="shared" si="20"/>
        <v>744</v>
      </c>
      <c r="M41" s="149">
        <f t="shared" si="20"/>
        <v>32973.31500000001</v>
      </c>
      <c r="N41" s="149">
        <f t="shared" si="20"/>
        <v>221970.43000000002</v>
      </c>
      <c r="O41" s="149"/>
      <c r="P41" s="149">
        <f>SUM(P25:P40)</f>
        <v>64800</v>
      </c>
    </row>
    <row r="42" spans="1:16" ht="12" thickTop="1" x14ac:dyDescent="0.2">
      <c r="A42" s="134"/>
      <c r="B42" s="134"/>
      <c r="C42" s="134" t="s">
        <v>199</v>
      </c>
      <c r="D42" s="134">
        <f>COUNT(D25:D41)</f>
        <v>14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6"/>
    </row>
    <row r="43" spans="1:16" x14ac:dyDescent="0.2">
      <c r="A43" s="135" t="s">
        <v>16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6"/>
    </row>
    <row r="44" spans="1:16" x14ac:dyDescent="0.2">
      <c r="A44" s="134"/>
      <c r="B44" s="134"/>
      <c r="C44" s="134" t="s">
        <v>176</v>
      </c>
      <c r="D44" s="141" t="s">
        <v>177</v>
      </c>
      <c r="E44" s="141" t="s">
        <v>178</v>
      </c>
      <c r="F44" s="141" t="s">
        <v>179</v>
      </c>
      <c r="G44" s="141" t="s">
        <v>180</v>
      </c>
      <c r="H44" s="141" t="s">
        <v>181</v>
      </c>
      <c r="I44" s="141" t="s">
        <v>182</v>
      </c>
      <c r="J44" s="141" t="s">
        <v>183</v>
      </c>
      <c r="K44" s="141" t="s">
        <v>184</v>
      </c>
      <c r="L44" s="141" t="s">
        <v>185</v>
      </c>
      <c r="M44" s="141" t="s">
        <v>186</v>
      </c>
      <c r="N44" s="141" t="s">
        <v>187</v>
      </c>
      <c r="O44" s="141"/>
      <c r="P44" s="136"/>
    </row>
    <row r="45" spans="1:16" x14ac:dyDescent="0.2">
      <c r="A45" s="134"/>
      <c r="B45" s="134"/>
      <c r="C45" s="134"/>
      <c r="D45" s="141" t="s">
        <v>188</v>
      </c>
      <c r="E45" s="141" t="s">
        <v>189</v>
      </c>
      <c r="F45" s="141"/>
      <c r="G45" s="141" t="s">
        <v>190</v>
      </c>
      <c r="H45" s="141" t="s">
        <v>190</v>
      </c>
      <c r="I45" s="141" t="s">
        <v>191</v>
      </c>
      <c r="J45" s="141"/>
      <c r="K45" s="141" t="s">
        <v>192</v>
      </c>
      <c r="L45" s="141" t="s">
        <v>193</v>
      </c>
      <c r="M45" s="141" t="s">
        <v>194</v>
      </c>
      <c r="N45" s="141" t="s">
        <v>195</v>
      </c>
      <c r="O45" s="141"/>
      <c r="P45" s="136"/>
    </row>
    <row r="46" spans="1:16" s="148" customFormat="1" x14ac:dyDescent="0.2">
      <c r="A46" s="145" t="s">
        <v>684</v>
      </c>
      <c r="B46" s="145"/>
      <c r="C46" s="145" t="s">
        <v>34</v>
      </c>
      <c r="D46" s="150">
        <v>2</v>
      </c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46"/>
    </row>
    <row r="47" spans="1:16" x14ac:dyDescent="0.2">
      <c r="A47" s="134" t="s">
        <v>15</v>
      </c>
      <c r="B47" s="134"/>
      <c r="C47" s="134" t="s">
        <v>556</v>
      </c>
      <c r="D47" s="134">
        <v>8</v>
      </c>
      <c r="E47" s="136">
        <f t="shared" ref="E47:E48" si="21">SUM(F47:P47)</f>
        <v>390074.5111</v>
      </c>
      <c r="F47" s="136">
        <f>19549*(B$5+1)*12</f>
        <v>251009.16</v>
      </c>
      <c r="G47" s="136">
        <f t="shared" ref="G47" si="22">F47*0.22</f>
        <v>55222.015200000002</v>
      </c>
      <c r="H47" s="136">
        <f t="shared" ref="H47" si="23">3871*(B$6+1)*12</f>
        <v>49703.64</v>
      </c>
      <c r="I47" s="136">
        <f t="shared" ref="I47" si="24">700*12</f>
        <v>8400</v>
      </c>
      <c r="J47" s="143">
        <v>1926</v>
      </c>
      <c r="K47" s="136">
        <v>0</v>
      </c>
      <c r="L47" s="136">
        <v>93</v>
      </c>
      <c r="M47" s="136">
        <f t="shared" ref="M47" si="25">(N47+I47+K47+F47)*0.01</f>
        <v>2803.2659000000003</v>
      </c>
      <c r="N47" s="136">
        <f t="shared" ref="N47" si="26">F47/12</f>
        <v>20917.43</v>
      </c>
      <c r="O47" s="136"/>
      <c r="P47" s="136"/>
    </row>
    <row r="48" spans="1:16" x14ac:dyDescent="0.2">
      <c r="A48" s="134" t="s">
        <v>329</v>
      </c>
      <c r="B48" s="134"/>
      <c r="C48" s="134"/>
      <c r="D48" s="134"/>
      <c r="E48" s="136">
        <f t="shared" si="21"/>
        <v>0</v>
      </c>
      <c r="F48" s="136"/>
      <c r="G48" s="136"/>
      <c r="H48" s="136"/>
      <c r="I48" s="136"/>
      <c r="J48" s="143"/>
      <c r="K48" s="136"/>
      <c r="L48" s="136"/>
      <c r="M48" s="136"/>
      <c r="N48" s="136"/>
      <c r="O48" s="136"/>
      <c r="P48" s="136"/>
    </row>
    <row r="49" spans="1:16" x14ac:dyDescent="0.2">
      <c r="A49" s="134"/>
      <c r="B49" s="134"/>
      <c r="C49" s="134"/>
      <c r="D49" s="134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1:16" ht="12" thickBot="1" x14ac:dyDescent="0.25">
      <c r="A50" s="134"/>
      <c r="B50" s="134"/>
      <c r="C50" s="134"/>
      <c r="D50" s="134"/>
      <c r="E50" s="149">
        <f t="shared" ref="E50:N50" si="27">SUM(E47:E49)</f>
        <v>390074.5111</v>
      </c>
      <c r="F50" s="149">
        <f t="shared" si="27"/>
        <v>251009.16</v>
      </c>
      <c r="G50" s="149">
        <f t="shared" si="27"/>
        <v>55222.015200000002</v>
      </c>
      <c r="H50" s="149">
        <f t="shared" si="27"/>
        <v>49703.64</v>
      </c>
      <c r="I50" s="149">
        <f t="shared" si="27"/>
        <v>8400</v>
      </c>
      <c r="J50" s="149">
        <f t="shared" si="27"/>
        <v>1926</v>
      </c>
      <c r="K50" s="149">
        <f t="shared" si="27"/>
        <v>0</v>
      </c>
      <c r="L50" s="149">
        <f t="shared" si="27"/>
        <v>93</v>
      </c>
      <c r="M50" s="149">
        <f t="shared" si="27"/>
        <v>2803.2659000000003</v>
      </c>
      <c r="N50" s="149">
        <f t="shared" si="27"/>
        <v>20917.43</v>
      </c>
      <c r="O50" s="152"/>
      <c r="P50" s="136"/>
    </row>
    <row r="51" spans="1:16" ht="12" thickTop="1" x14ac:dyDescent="0.2">
      <c r="A51" s="134"/>
      <c r="B51" s="134"/>
      <c r="C51" s="134" t="s">
        <v>199</v>
      </c>
      <c r="D51" s="134">
        <f>COUNT(D47:D50)</f>
        <v>1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6"/>
    </row>
    <row r="52" spans="1:16" x14ac:dyDescent="0.2">
      <c r="A52" s="135" t="s">
        <v>135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6"/>
    </row>
    <row r="53" spans="1:16" x14ac:dyDescent="0.2">
      <c r="A53" s="134"/>
      <c r="B53" s="134"/>
      <c r="C53" s="134" t="s">
        <v>176</v>
      </c>
      <c r="D53" s="141" t="s">
        <v>177</v>
      </c>
      <c r="E53" s="141" t="s">
        <v>178</v>
      </c>
      <c r="F53" s="141" t="s">
        <v>179</v>
      </c>
      <c r="G53" s="141" t="s">
        <v>180</v>
      </c>
      <c r="H53" s="141" t="s">
        <v>181</v>
      </c>
      <c r="I53" s="141" t="s">
        <v>182</v>
      </c>
      <c r="J53" s="141" t="s">
        <v>183</v>
      </c>
      <c r="K53" s="141" t="s">
        <v>184</v>
      </c>
      <c r="L53" s="141" t="s">
        <v>185</v>
      </c>
      <c r="M53" s="141" t="s">
        <v>186</v>
      </c>
      <c r="N53" s="141" t="s">
        <v>187</v>
      </c>
      <c r="O53" s="141"/>
      <c r="P53" s="136" t="s">
        <v>164</v>
      </c>
    </row>
    <row r="54" spans="1:16" x14ac:dyDescent="0.2">
      <c r="A54" s="134"/>
      <c r="B54" s="134"/>
      <c r="C54" s="134"/>
      <c r="D54" s="141" t="s">
        <v>188</v>
      </c>
      <c r="E54" s="141" t="s">
        <v>189</v>
      </c>
      <c r="F54" s="141"/>
      <c r="G54" s="141" t="s">
        <v>190</v>
      </c>
      <c r="H54" s="141" t="s">
        <v>190</v>
      </c>
      <c r="I54" s="141" t="s">
        <v>191</v>
      </c>
      <c r="J54" s="141"/>
      <c r="K54" s="141" t="s">
        <v>192</v>
      </c>
      <c r="L54" s="141" t="s">
        <v>193</v>
      </c>
      <c r="M54" s="141" t="s">
        <v>194</v>
      </c>
      <c r="N54" s="141" t="s">
        <v>195</v>
      </c>
      <c r="O54" s="141"/>
      <c r="P54" s="136"/>
    </row>
    <row r="55" spans="1:16" x14ac:dyDescent="0.2">
      <c r="A55" s="134" t="s">
        <v>344</v>
      </c>
      <c r="B55" s="134"/>
      <c r="C55" s="134" t="s">
        <v>538</v>
      </c>
      <c r="D55" s="134">
        <v>8</v>
      </c>
      <c r="E55" s="136">
        <f>SUM(F55:P55)</f>
        <v>424598.51050000009</v>
      </c>
      <c r="F55" s="136">
        <f>21595*(B$5+1)*12</f>
        <v>277279.80000000005</v>
      </c>
      <c r="G55" s="136">
        <f>F55*0.22</f>
        <v>61001.556000000011</v>
      </c>
      <c r="H55" s="136">
        <f t="shared" ref="H55:H61" si="28">3871*(B$6+1)*12</f>
        <v>49703.64</v>
      </c>
      <c r="I55" s="136">
        <f t="shared" ref="I55:I61" si="29">700*12</f>
        <v>8400</v>
      </c>
      <c r="J55" s="143">
        <v>1926</v>
      </c>
      <c r="K55" s="136">
        <v>0</v>
      </c>
      <c r="L55" s="136">
        <v>93</v>
      </c>
      <c r="M55" s="136">
        <f>(N55+I55+K55+F55)*0.01</f>
        <v>3087.8645000000006</v>
      </c>
      <c r="N55" s="136">
        <f>F55/12</f>
        <v>23106.650000000005</v>
      </c>
      <c r="O55" s="136"/>
      <c r="P55" s="136"/>
    </row>
    <row r="56" spans="1:16" x14ac:dyDescent="0.2">
      <c r="A56" s="134" t="s">
        <v>502</v>
      </c>
      <c r="B56" s="134"/>
      <c r="C56" s="134" t="s">
        <v>503</v>
      </c>
      <c r="D56" s="134">
        <v>8</v>
      </c>
      <c r="E56" s="136">
        <f>SUM(F56:P56)</f>
        <v>406897.78940000001</v>
      </c>
      <c r="F56" s="136">
        <f>20546*(B$5+1)*12</f>
        <v>263810.64</v>
      </c>
      <c r="G56" s="136">
        <f>F56*0.22</f>
        <v>58038.340800000005</v>
      </c>
      <c r="H56" s="136">
        <f t="shared" si="28"/>
        <v>49703.64</v>
      </c>
      <c r="I56" s="136">
        <f t="shared" si="29"/>
        <v>8400</v>
      </c>
      <c r="J56" s="143">
        <v>1926</v>
      </c>
      <c r="K56" s="136">
        <v>0</v>
      </c>
      <c r="L56" s="136">
        <v>93</v>
      </c>
      <c r="M56" s="136">
        <f>(N56+I56+K56+F56)*0.01</f>
        <v>2941.9485999999997</v>
      </c>
      <c r="N56" s="136">
        <f>F56/12</f>
        <v>21984.22</v>
      </c>
      <c r="O56" s="136"/>
      <c r="P56" s="136"/>
    </row>
    <row r="57" spans="1:16" x14ac:dyDescent="0.2">
      <c r="A57" s="134" t="s">
        <v>465</v>
      </c>
      <c r="B57" s="134"/>
      <c r="C57" s="134" t="s">
        <v>342</v>
      </c>
      <c r="D57" s="134">
        <v>8</v>
      </c>
      <c r="E57" s="136">
        <f t="shared" ref="E57:E63" si="30">SUM(F57:P57)</f>
        <v>424598.51050000009</v>
      </c>
      <c r="F57" s="136">
        <f>21595*(B$5+1)*12</f>
        <v>277279.80000000005</v>
      </c>
      <c r="G57" s="136">
        <f t="shared" ref="G57:G60" si="31">F57*0.22</f>
        <v>61001.556000000011</v>
      </c>
      <c r="H57" s="136">
        <f t="shared" si="28"/>
        <v>49703.64</v>
      </c>
      <c r="I57" s="136">
        <f t="shared" si="29"/>
        <v>8400</v>
      </c>
      <c r="J57" s="143">
        <v>1926</v>
      </c>
      <c r="K57" s="136">
        <v>0</v>
      </c>
      <c r="L57" s="136">
        <v>93</v>
      </c>
      <c r="M57" s="136">
        <f t="shared" ref="M57:M60" si="32">(N57+I57+K57+F57)*0.01</f>
        <v>3087.8645000000006</v>
      </c>
      <c r="N57" s="136">
        <f t="shared" ref="N57:N60" si="33">F57/12</f>
        <v>23106.650000000005</v>
      </c>
      <c r="O57" s="136"/>
      <c r="P57" s="136"/>
    </row>
    <row r="58" spans="1:16" x14ac:dyDescent="0.2">
      <c r="A58" s="134" t="s">
        <v>55</v>
      </c>
      <c r="B58" s="134"/>
      <c r="C58" s="134" t="s">
        <v>82</v>
      </c>
      <c r="D58" s="134">
        <v>8</v>
      </c>
      <c r="E58" s="136">
        <f t="shared" si="30"/>
        <v>424598.51050000009</v>
      </c>
      <c r="F58" s="136">
        <f>21595*(B$5+1)*12</f>
        <v>277279.80000000005</v>
      </c>
      <c r="G58" s="136">
        <f t="shared" si="31"/>
        <v>61001.556000000011</v>
      </c>
      <c r="H58" s="136">
        <f t="shared" si="28"/>
        <v>49703.64</v>
      </c>
      <c r="I58" s="136">
        <f t="shared" si="29"/>
        <v>8400</v>
      </c>
      <c r="J58" s="143">
        <v>1926</v>
      </c>
      <c r="K58" s="136">
        <v>0</v>
      </c>
      <c r="L58" s="136">
        <v>93</v>
      </c>
      <c r="M58" s="136">
        <f t="shared" si="32"/>
        <v>3087.8645000000006</v>
      </c>
      <c r="N58" s="136">
        <f t="shared" si="33"/>
        <v>23106.650000000005</v>
      </c>
      <c r="O58" s="136"/>
      <c r="P58" s="136"/>
    </row>
    <row r="59" spans="1:16" x14ac:dyDescent="0.2">
      <c r="A59" s="134" t="s">
        <v>487</v>
      </c>
      <c r="B59" s="134"/>
      <c r="C59" s="134" t="s">
        <v>539</v>
      </c>
      <c r="D59" s="134">
        <v>8</v>
      </c>
      <c r="E59" s="136">
        <f t="shared" ref="E59" si="34">SUM(F59:P59)</f>
        <v>390074.5111</v>
      </c>
      <c r="F59" s="136">
        <f>19549*(B$5+1)*12</f>
        <v>251009.16</v>
      </c>
      <c r="G59" s="136">
        <f t="shared" si="31"/>
        <v>55222.015200000002</v>
      </c>
      <c r="H59" s="136">
        <f t="shared" si="28"/>
        <v>49703.64</v>
      </c>
      <c r="I59" s="136">
        <f t="shared" si="29"/>
        <v>8400</v>
      </c>
      <c r="J59" s="143">
        <v>1926</v>
      </c>
      <c r="K59" s="136">
        <v>0</v>
      </c>
      <c r="L59" s="136">
        <v>93</v>
      </c>
      <c r="M59" s="136">
        <f t="shared" si="32"/>
        <v>2803.2659000000003</v>
      </c>
      <c r="N59" s="136">
        <f t="shared" si="33"/>
        <v>20917.43</v>
      </c>
      <c r="O59" s="146"/>
      <c r="P59" s="146"/>
    </row>
    <row r="60" spans="1:16" x14ac:dyDescent="0.2">
      <c r="A60" s="134" t="s">
        <v>488</v>
      </c>
      <c r="B60" s="134"/>
      <c r="C60" s="134" t="s">
        <v>527</v>
      </c>
      <c r="D60" s="134">
        <v>8</v>
      </c>
      <c r="E60" s="136">
        <f t="shared" ref="E60" si="35">SUM(F60:P60)</f>
        <v>390074.5111</v>
      </c>
      <c r="F60" s="136">
        <f>19549*(B$5+1)*12</f>
        <v>251009.16</v>
      </c>
      <c r="G60" s="136">
        <f t="shared" si="31"/>
        <v>55222.015200000002</v>
      </c>
      <c r="H60" s="136">
        <f t="shared" si="28"/>
        <v>49703.64</v>
      </c>
      <c r="I60" s="136">
        <f t="shared" si="29"/>
        <v>8400</v>
      </c>
      <c r="J60" s="143">
        <v>1926</v>
      </c>
      <c r="K60" s="136">
        <v>0</v>
      </c>
      <c r="L60" s="136">
        <v>93</v>
      </c>
      <c r="M60" s="136">
        <f t="shared" si="32"/>
        <v>2803.2659000000003</v>
      </c>
      <c r="N60" s="136">
        <f t="shared" si="33"/>
        <v>20917.43</v>
      </c>
      <c r="O60" s="146"/>
      <c r="P60" s="146"/>
    </row>
    <row r="61" spans="1:16" x14ac:dyDescent="0.2">
      <c r="A61" s="134" t="s">
        <v>56</v>
      </c>
      <c r="B61" s="134"/>
      <c r="C61" s="134" t="s">
        <v>537</v>
      </c>
      <c r="D61" s="134">
        <v>8</v>
      </c>
      <c r="E61" s="136">
        <f>SUM(F61:P61)</f>
        <v>424598.51050000009</v>
      </c>
      <c r="F61" s="136">
        <f>21595*(B$5+1)*12</f>
        <v>277279.80000000005</v>
      </c>
      <c r="G61" s="136">
        <f>F61*0.22</f>
        <v>61001.556000000011</v>
      </c>
      <c r="H61" s="136">
        <f t="shared" si="28"/>
        <v>49703.64</v>
      </c>
      <c r="I61" s="136">
        <f t="shared" si="29"/>
        <v>8400</v>
      </c>
      <c r="J61" s="143">
        <v>1926</v>
      </c>
      <c r="K61" s="136">
        <v>0</v>
      </c>
      <c r="L61" s="136">
        <v>93</v>
      </c>
      <c r="M61" s="136">
        <f>(N61+I61+K61+F61)*0.01</f>
        <v>3087.8645000000006</v>
      </c>
      <c r="N61" s="136">
        <f>F61/12</f>
        <v>23106.650000000005</v>
      </c>
      <c r="O61" s="136"/>
      <c r="P61" s="136"/>
    </row>
    <row r="62" spans="1:16" x14ac:dyDescent="0.2">
      <c r="A62" s="134" t="s">
        <v>329</v>
      </c>
      <c r="B62" s="134"/>
      <c r="C62" s="134"/>
      <c r="D62" s="134"/>
      <c r="E62" s="136">
        <f>SUM(F62:P62)</f>
        <v>0</v>
      </c>
      <c r="F62" s="136"/>
      <c r="G62" s="136"/>
      <c r="H62" s="136"/>
      <c r="I62" s="136"/>
      <c r="J62" s="143"/>
      <c r="K62" s="136"/>
      <c r="L62" s="136"/>
      <c r="M62" s="136"/>
      <c r="N62" s="136"/>
      <c r="O62" s="136"/>
      <c r="P62" s="136"/>
    </row>
    <row r="63" spans="1:16" x14ac:dyDescent="0.2">
      <c r="A63" s="134" t="s">
        <v>164</v>
      </c>
      <c r="B63" s="134"/>
      <c r="C63" s="134" t="s">
        <v>164</v>
      </c>
      <c r="D63" s="134"/>
      <c r="E63" s="136">
        <f t="shared" si="30"/>
        <v>10800</v>
      </c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>
        <v>10800</v>
      </c>
    </row>
    <row r="64" spans="1:16" ht="12" thickBot="1" x14ac:dyDescent="0.25">
      <c r="A64" s="134"/>
      <c r="B64" s="134"/>
      <c r="C64" s="134"/>
      <c r="D64" s="134"/>
      <c r="E64" s="149">
        <f t="shared" ref="E64:N64" si="36">SUM(E55:E63)</f>
        <v>2896240.8536</v>
      </c>
      <c r="F64" s="149">
        <f t="shared" si="36"/>
        <v>1874948.16</v>
      </c>
      <c r="G64" s="149">
        <f t="shared" si="36"/>
        <v>412488.5952000001</v>
      </c>
      <c r="H64" s="149">
        <f t="shared" si="36"/>
        <v>347925.48000000004</v>
      </c>
      <c r="I64" s="149">
        <f t="shared" si="36"/>
        <v>58800</v>
      </c>
      <c r="J64" s="149">
        <f t="shared" si="36"/>
        <v>13482</v>
      </c>
      <c r="K64" s="149">
        <f t="shared" si="36"/>
        <v>0</v>
      </c>
      <c r="L64" s="149">
        <f t="shared" si="36"/>
        <v>651</v>
      </c>
      <c r="M64" s="149">
        <f t="shared" si="36"/>
        <v>20899.938400000003</v>
      </c>
      <c r="N64" s="149">
        <f t="shared" si="36"/>
        <v>156245.68000000002</v>
      </c>
      <c r="O64" s="149"/>
      <c r="P64" s="149">
        <f>SUM(P55:P63)</f>
        <v>10800</v>
      </c>
    </row>
    <row r="65" spans="1:16" ht="12" thickTop="1" x14ac:dyDescent="0.2">
      <c r="A65" s="134"/>
      <c r="B65" s="134"/>
      <c r="C65" s="134" t="s">
        <v>199</v>
      </c>
      <c r="D65" s="134">
        <f>COUNT(D55:D64)</f>
        <v>7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6"/>
    </row>
    <row r="66" spans="1:16" x14ac:dyDescent="0.2">
      <c r="A66" s="134"/>
      <c r="B66" s="134"/>
      <c r="C66" s="134"/>
      <c r="D66" s="134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36"/>
    </row>
    <row r="67" spans="1:16" x14ac:dyDescent="0.2">
      <c r="A67" s="135" t="s">
        <v>100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6"/>
    </row>
    <row r="68" spans="1:16" x14ac:dyDescent="0.2">
      <c r="A68" s="134"/>
      <c r="B68" s="134"/>
      <c r="C68" s="134" t="s">
        <v>176</v>
      </c>
      <c r="D68" s="141" t="s">
        <v>177</v>
      </c>
      <c r="E68" s="141" t="s">
        <v>178</v>
      </c>
      <c r="F68" s="141" t="s">
        <v>179</v>
      </c>
      <c r="G68" s="141" t="s">
        <v>180</v>
      </c>
      <c r="H68" s="141" t="s">
        <v>181</v>
      </c>
      <c r="I68" s="141" t="s">
        <v>182</v>
      </c>
      <c r="J68" s="141" t="s">
        <v>183</v>
      </c>
      <c r="K68" s="141" t="s">
        <v>184</v>
      </c>
      <c r="L68" s="141" t="s">
        <v>185</v>
      </c>
      <c r="M68" s="141" t="s">
        <v>186</v>
      </c>
      <c r="N68" s="141" t="s">
        <v>187</v>
      </c>
      <c r="O68" s="141" t="s">
        <v>444</v>
      </c>
      <c r="P68" s="136" t="s">
        <v>164</v>
      </c>
    </row>
    <row r="69" spans="1:16" x14ac:dyDescent="0.2">
      <c r="A69" s="134"/>
      <c r="B69" s="134"/>
      <c r="C69" s="134"/>
      <c r="D69" s="141" t="s">
        <v>188</v>
      </c>
      <c r="E69" s="141" t="s">
        <v>189</v>
      </c>
      <c r="F69" s="141"/>
      <c r="G69" s="141" t="s">
        <v>190</v>
      </c>
      <c r="H69" s="141" t="s">
        <v>190</v>
      </c>
      <c r="I69" s="141" t="s">
        <v>191</v>
      </c>
      <c r="J69" s="141"/>
      <c r="K69" s="141" t="s">
        <v>192</v>
      </c>
      <c r="L69" s="141" t="s">
        <v>193</v>
      </c>
      <c r="M69" s="141" t="s">
        <v>194</v>
      </c>
      <c r="N69" s="141" t="s">
        <v>195</v>
      </c>
      <c r="O69" s="141" t="s">
        <v>192</v>
      </c>
      <c r="P69" s="136"/>
    </row>
    <row r="70" spans="1:16" x14ac:dyDescent="0.2">
      <c r="A70" s="153" t="s">
        <v>707</v>
      </c>
      <c r="B70" s="134"/>
      <c r="C70" s="134" t="s">
        <v>68</v>
      </c>
      <c r="D70" s="134">
        <v>0</v>
      </c>
      <c r="E70" s="136">
        <f t="shared" ref="E70" si="37">SUM(F70:P70)</f>
        <v>1874534.6846000003</v>
      </c>
      <c r="F70" s="136">
        <f>87914*(B$5+1)*12</f>
        <v>1128815.7600000002</v>
      </c>
      <c r="G70" s="136">
        <f t="shared" ref="G70:G102" si="38">F70*0.22</f>
        <v>248339.46720000004</v>
      </c>
      <c r="H70" s="136">
        <f t="shared" ref="H70" si="39">3871*(B$6+1)*12</f>
        <v>49703.64</v>
      </c>
      <c r="I70" s="136">
        <v>0</v>
      </c>
      <c r="J70" s="143">
        <v>1926</v>
      </c>
      <c r="K70" s="136">
        <f>28000*12</f>
        <v>336000</v>
      </c>
      <c r="L70" s="136">
        <v>93</v>
      </c>
      <c r="M70" s="136">
        <f t="shared" ref="M70:M103" si="40">(N70+I70+K70+F70)*0.01</f>
        <v>15588.837400000002</v>
      </c>
      <c r="N70" s="136">
        <f t="shared" ref="N70:N100" si="41">F70/12</f>
        <v>94067.980000000025</v>
      </c>
      <c r="O70" s="136"/>
      <c r="P70" s="136"/>
    </row>
    <row r="71" spans="1:16" x14ac:dyDescent="0.2">
      <c r="A71" s="154" t="s">
        <v>726</v>
      </c>
      <c r="B71" s="145"/>
      <c r="C71" s="145" t="s">
        <v>34</v>
      </c>
      <c r="D71" s="145">
        <v>8</v>
      </c>
      <c r="E71" s="136"/>
      <c r="F71" s="136"/>
      <c r="G71" s="136"/>
      <c r="H71" s="136"/>
      <c r="I71" s="136"/>
      <c r="J71" s="143"/>
      <c r="K71" s="136"/>
      <c r="L71" s="136"/>
      <c r="M71" s="136"/>
      <c r="N71" s="136"/>
      <c r="O71" s="136"/>
      <c r="P71" s="136"/>
    </row>
    <row r="72" spans="1:16" x14ac:dyDescent="0.2">
      <c r="A72" s="154" t="s">
        <v>712</v>
      </c>
      <c r="B72" s="145"/>
      <c r="C72" s="145" t="s">
        <v>34</v>
      </c>
      <c r="D72" s="145">
        <v>1</v>
      </c>
      <c r="E72" s="136"/>
      <c r="F72" s="136"/>
      <c r="G72" s="136"/>
      <c r="H72" s="136"/>
      <c r="I72" s="136"/>
      <c r="J72" s="143"/>
      <c r="K72" s="136"/>
      <c r="L72" s="136"/>
      <c r="M72" s="136"/>
      <c r="N72" s="136"/>
      <c r="O72" s="136"/>
      <c r="P72" s="136"/>
    </row>
    <row r="73" spans="1:16" x14ac:dyDescent="0.2">
      <c r="A73" s="133" t="s">
        <v>561</v>
      </c>
      <c r="B73" s="134"/>
      <c r="C73" s="134"/>
      <c r="D73" s="134"/>
      <c r="E73" s="136"/>
      <c r="F73" s="136"/>
      <c r="G73" s="136"/>
      <c r="H73" s="136"/>
      <c r="I73" s="136"/>
      <c r="J73" s="143"/>
      <c r="K73" s="136"/>
      <c r="L73" s="136"/>
      <c r="M73" s="136"/>
      <c r="N73" s="136"/>
      <c r="O73" s="136"/>
      <c r="P73" s="136"/>
    </row>
    <row r="74" spans="1:16" x14ac:dyDescent="0.2">
      <c r="A74" s="134"/>
      <c r="B74" s="134"/>
      <c r="C74" s="134"/>
      <c r="D74" s="134"/>
      <c r="E74" s="136"/>
      <c r="F74" s="136"/>
      <c r="G74" s="136"/>
      <c r="H74" s="136"/>
      <c r="I74" s="136"/>
      <c r="J74" s="143"/>
      <c r="K74" s="136"/>
      <c r="L74" s="136"/>
      <c r="M74" s="136"/>
      <c r="N74" s="136"/>
      <c r="O74" s="136"/>
      <c r="P74" s="136"/>
    </row>
    <row r="75" spans="1:16" x14ac:dyDescent="0.2">
      <c r="A75" s="134" t="s">
        <v>711</v>
      </c>
      <c r="B75" s="134"/>
      <c r="C75" s="134" t="s">
        <v>541</v>
      </c>
      <c r="D75" s="134">
        <v>2</v>
      </c>
      <c r="E75" s="136">
        <f t="shared" ref="E75" si="42">SUM(F75:P75)</f>
        <v>1011804.6731000001</v>
      </c>
      <c r="F75" s="136">
        <f>47129*(B$5+1)*12</f>
        <v>605136.3600000001</v>
      </c>
      <c r="G75" s="136">
        <f t="shared" si="38"/>
        <v>133129.99920000002</v>
      </c>
      <c r="H75" s="136">
        <f t="shared" ref="H75:H78" si="43">3871*(B$6+1)*12</f>
        <v>49703.64</v>
      </c>
      <c r="I75" s="136">
        <f t="shared" ref="I75:I112" si="44">700*12</f>
        <v>8400</v>
      </c>
      <c r="J75" s="143">
        <v>1926</v>
      </c>
      <c r="K75" s="136">
        <f t="shared" ref="K75" si="45">12900*12</f>
        <v>154800</v>
      </c>
      <c r="L75" s="136">
        <v>93</v>
      </c>
      <c r="M75" s="136">
        <f t="shared" si="40"/>
        <v>8187.6439000000018</v>
      </c>
      <c r="N75" s="136">
        <f t="shared" si="41"/>
        <v>50428.030000000006</v>
      </c>
      <c r="O75" s="136"/>
      <c r="P75" s="136"/>
    </row>
    <row r="76" spans="1:16" x14ac:dyDescent="0.2">
      <c r="A76" s="134" t="s">
        <v>714</v>
      </c>
      <c r="B76" s="134"/>
      <c r="C76" s="134" t="s">
        <v>365</v>
      </c>
      <c r="D76" s="134" t="s">
        <v>348</v>
      </c>
      <c r="E76" s="136">
        <f t="shared" ref="E76:E78" si="46">SUM(F76:P76)</f>
        <v>912075.38430000003</v>
      </c>
      <c r="F76" s="136">
        <f>41937*(B$5+1)*12</f>
        <v>538471.08000000007</v>
      </c>
      <c r="G76" s="136">
        <f t="shared" ref="G76:G78" si="47">F76*0.22</f>
        <v>118463.63760000002</v>
      </c>
      <c r="H76" s="136">
        <f t="shared" si="43"/>
        <v>49703.64</v>
      </c>
      <c r="I76" s="136">
        <f t="shared" si="44"/>
        <v>8400</v>
      </c>
      <c r="J76" s="143">
        <v>1926</v>
      </c>
      <c r="K76" s="136">
        <f t="shared" ref="K76" si="48">11900*12</f>
        <v>142800</v>
      </c>
      <c r="L76" s="136">
        <v>93</v>
      </c>
      <c r="M76" s="136">
        <f t="shared" ref="M76:M78" si="49">(N76+I76+K76+F76)*0.01</f>
        <v>7345.4367000000002</v>
      </c>
      <c r="N76" s="136">
        <f>F76/12</f>
        <v>44872.590000000004</v>
      </c>
      <c r="O76" s="136"/>
      <c r="P76" s="136"/>
    </row>
    <row r="77" spans="1:16" x14ac:dyDescent="0.2">
      <c r="A77" s="145" t="s">
        <v>722</v>
      </c>
      <c r="B77" s="145"/>
      <c r="C77" s="145" t="s">
        <v>34</v>
      </c>
      <c r="D77" s="145">
        <v>6</v>
      </c>
      <c r="E77" s="146">
        <f t="shared" si="46"/>
        <v>0</v>
      </c>
      <c r="F77" s="146"/>
      <c r="G77" s="146"/>
      <c r="H77" s="146"/>
      <c r="I77" s="146"/>
      <c r="J77" s="147"/>
      <c r="K77" s="146"/>
      <c r="L77" s="146"/>
      <c r="M77" s="146"/>
      <c r="N77" s="146"/>
      <c r="O77" s="136"/>
      <c r="P77" s="136"/>
    </row>
    <row r="78" spans="1:16" x14ac:dyDescent="0.2">
      <c r="A78" s="134" t="s">
        <v>288</v>
      </c>
      <c r="B78" s="134"/>
      <c r="C78" s="134" t="s">
        <v>518</v>
      </c>
      <c r="D78" s="134">
        <v>8</v>
      </c>
      <c r="E78" s="136">
        <f t="shared" si="46"/>
        <v>424598.51050000009</v>
      </c>
      <c r="F78" s="136">
        <f>21595*(B$5+1)*12</f>
        <v>277279.80000000005</v>
      </c>
      <c r="G78" s="136">
        <f t="shared" si="47"/>
        <v>61001.556000000011</v>
      </c>
      <c r="H78" s="136">
        <f t="shared" si="43"/>
        <v>49703.64</v>
      </c>
      <c r="I78" s="136">
        <f t="shared" si="44"/>
        <v>8400</v>
      </c>
      <c r="J78" s="143">
        <v>1926</v>
      </c>
      <c r="K78" s="136">
        <v>0</v>
      </c>
      <c r="L78" s="136">
        <v>93</v>
      </c>
      <c r="M78" s="136">
        <f t="shared" si="49"/>
        <v>3087.8645000000006</v>
      </c>
      <c r="N78" s="136">
        <f t="shared" ref="N78" si="50">F78/12</f>
        <v>23106.650000000005</v>
      </c>
      <c r="O78" s="136"/>
      <c r="P78" s="136"/>
    </row>
    <row r="79" spans="1:16" x14ac:dyDescent="0.2">
      <c r="A79" s="134"/>
      <c r="B79" s="134"/>
      <c r="C79" s="134"/>
      <c r="D79" s="134"/>
      <c r="E79" s="136"/>
      <c r="F79" s="136"/>
      <c r="G79" s="136"/>
      <c r="H79" s="136"/>
      <c r="I79" s="136"/>
      <c r="J79" s="143"/>
      <c r="K79" s="136"/>
      <c r="L79" s="136"/>
      <c r="M79" s="136"/>
      <c r="N79" s="136"/>
      <c r="O79" s="136"/>
      <c r="P79" s="136"/>
    </row>
    <row r="80" spans="1:16" x14ac:dyDescent="0.2">
      <c r="A80" s="133" t="s">
        <v>559</v>
      </c>
      <c r="B80" s="134"/>
      <c r="C80" s="134"/>
      <c r="D80" s="134"/>
      <c r="E80" s="136"/>
      <c r="F80" s="136"/>
      <c r="G80" s="136"/>
      <c r="H80" s="136"/>
      <c r="I80" s="136"/>
      <c r="J80" s="143"/>
      <c r="K80" s="136"/>
      <c r="L80" s="136"/>
      <c r="M80" s="136"/>
      <c r="N80" s="136"/>
      <c r="O80" s="136"/>
      <c r="P80" s="136"/>
    </row>
    <row r="81" spans="1:16" x14ac:dyDescent="0.2">
      <c r="A81" s="134"/>
      <c r="B81" s="134"/>
      <c r="C81" s="134"/>
      <c r="D81" s="134"/>
      <c r="E81" s="136"/>
      <c r="F81" s="136"/>
      <c r="G81" s="136"/>
      <c r="H81" s="136"/>
      <c r="I81" s="136"/>
      <c r="J81" s="143"/>
      <c r="K81" s="136"/>
      <c r="L81" s="136"/>
      <c r="M81" s="136"/>
      <c r="N81" s="136"/>
      <c r="O81" s="136"/>
      <c r="P81" s="136"/>
    </row>
    <row r="82" spans="1:16" x14ac:dyDescent="0.2">
      <c r="A82" s="134" t="s">
        <v>709</v>
      </c>
      <c r="B82" s="134"/>
      <c r="C82" s="134" t="s">
        <v>109</v>
      </c>
      <c r="D82" s="134">
        <v>2</v>
      </c>
      <c r="E82" s="136">
        <f t="shared" ref="E82" si="51">SUM(F82:P82)</f>
        <v>1011804.6731000001</v>
      </c>
      <c r="F82" s="136">
        <f>47129*(B$5+1)*12</f>
        <v>605136.3600000001</v>
      </c>
      <c r="G82" s="136">
        <f t="shared" ref="G82" si="52">F82*0.22</f>
        <v>133129.99920000002</v>
      </c>
      <c r="H82" s="136">
        <f t="shared" ref="H82:H91" si="53">3871*(B$6+1)*12</f>
        <v>49703.64</v>
      </c>
      <c r="I82" s="136">
        <f t="shared" si="44"/>
        <v>8400</v>
      </c>
      <c r="J82" s="143">
        <v>1926</v>
      </c>
      <c r="K82" s="136">
        <f t="shared" ref="K82" si="54">12900*12</f>
        <v>154800</v>
      </c>
      <c r="L82" s="136">
        <v>93</v>
      </c>
      <c r="M82" s="136">
        <f t="shared" ref="M82" si="55">(N82+I82+K82+F82)*0.01</f>
        <v>8187.6439000000018</v>
      </c>
      <c r="N82" s="136">
        <f t="shared" ref="N82" si="56">F82/12</f>
        <v>50428.030000000006</v>
      </c>
      <c r="O82" s="136"/>
      <c r="P82" s="136"/>
    </row>
    <row r="83" spans="1:16" x14ac:dyDescent="0.2">
      <c r="A83" s="134" t="s">
        <v>713</v>
      </c>
      <c r="B83" s="134"/>
      <c r="C83" s="134" t="s">
        <v>542</v>
      </c>
      <c r="D83" s="134" t="s">
        <v>348</v>
      </c>
      <c r="E83" s="136">
        <f t="shared" ref="E83" si="57">SUM(F83:P83)</f>
        <v>912075.38430000003</v>
      </c>
      <c r="F83" s="136">
        <f>41937*(B$5+1)*12</f>
        <v>538471.08000000007</v>
      </c>
      <c r="G83" s="136">
        <f t="shared" ref="G83:G86" si="58">F83*0.22</f>
        <v>118463.63760000002</v>
      </c>
      <c r="H83" s="136">
        <f t="shared" si="53"/>
        <v>49703.64</v>
      </c>
      <c r="I83" s="136">
        <f t="shared" si="44"/>
        <v>8400</v>
      </c>
      <c r="J83" s="143">
        <v>1926</v>
      </c>
      <c r="K83" s="136">
        <f>11900*12</f>
        <v>142800</v>
      </c>
      <c r="L83" s="136">
        <v>93</v>
      </c>
      <c r="M83" s="136">
        <f t="shared" ref="M83:M87" si="59">(N83+I83+K83+F83)*0.01</f>
        <v>7345.4367000000002</v>
      </c>
      <c r="N83" s="136">
        <f t="shared" ref="N83" si="60">F83/12</f>
        <v>44872.590000000004</v>
      </c>
      <c r="O83" s="136"/>
      <c r="P83" s="136"/>
    </row>
    <row r="84" spans="1:16" s="148" customFormat="1" x14ac:dyDescent="0.2">
      <c r="A84" s="145" t="s">
        <v>425</v>
      </c>
      <c r="B84" s="145"/>
      <c r="C84" s="145" t="s">
        <v>34</v>
      </c>
      <c r="D84" s="145">
        <v>5</v>
      </c>
      <c r="E84" s="146">
        <f t="shared" ref="E84:E87" si="61">SUM(F84:P84)</f>
        <v>688581.99073333328</v>
      </c>
      <c r="F84" s="146">
        <f>359992*(B$5+1)</f>
        <v>385191.44</v>
      </c>
      <c r="G84" s="146">
        <f t="shared" si="58"/>
        <v>84742.116800000003</v>
      </c>
      <c r="H84" s="146">
        <f t="shared" ref="H84:H87" si="62">3871*(B$6+1)*12</f>
        <v>49703.64</v>
      </c>
      <c r="I84" s="146">
        <f t="shared" si="44"/>
        <v>8400</v>
      </c>
      <c r="J84" s="147">
        <v>1926</v>
      </c>
      <c r="K84" s="146">
        <f t="shared" ref="K84" si="63">10080*12</f>
        <v>120960</v>
      </c>
      <c r="L84" s="146">
        <v>93</v>
      </c>
      <c r="M84" s="146">
        <f t="shared" si="59"/>
        <v>5466.5072666666665</v>
      </c>
      <c r="N84" s="146">
        <f>F84/12</f>
        <v>32099.286666666667</v>
      </c>
      <c r="O84" s="146"/>
      <c r="P84" s="146"/>
    </row>
    <row r="85" spans="1:16" x14ac:dyDescent="0.2">
      <c r="A85" s="134" t="s">
        <v>49</v>
      </c>
      <c r="B85" s="134"/>
      <c r="C85" s="134" t="s">
        <v>28</v>
      </c>
      <c r="D85" s="134">
        <v>8</v>
      </c>
      <c r="E85" s="136">
        <f t="shared" si="61"/>
        <v>531012.11050000007</v>
      </c>
      <c r="F85" s="136">
        <f>21595*(B$5+1)*12</f>
        <v>277279.80000000005</v>
      </c>
      <c r="G85" s="136">
        <f t="shared" si="58"/>
        <v>61001.556000000011</v>
      </c>
      <c r="H85" s="136">
        <f t="shared" si="62"/>
        <v>49703.64</v>
      </c>
      <c r="I85" s="136">
        <f t="shared" si="44"/>
        <v>8400</v>
      </c>
      <c r="J85" s="143">
        <v>1926</v>
      </c>
      <c r="K85" s="136">
        <f>8780*12</f>
        <v>105360</v>
      </c>
      <c r="L85" s="136">
        <v>93</v>
      </c>
      <c r="M85" s="136">
        <f t="shared" si="59"/>
        <v>4141.464500000001</v>
      </c>
      <c r="N85" s="136">
        <f t="shared" ref="N85:N86" si="64">F85/12</f>
        <v>23106.650000000005</v>
      </c>
      <c r="O85" s="136"/>
      <c r="P85" s="136"/>
    </row>
    <row r="86" spans="1:16" x14ac:dyDescent="0.2">
      <c r="A86" s="134" t="s">
        <v>49</v>
      </c>
      <c r="B86" s="134"/>
      <c r="C86" s="134" t="s">
        <v>27</v>
      </c>
      <c r="D86" s="134">
        <v>7</v>
      </c>
      <c r="E86" s="136">
        <f t="shared" si="61"/>
        <v>568721.05440000002</v>
      </c>
      <c r="F86" s="136">
        <f>22896*(B$5+1)*12</f>
        <v>293984.64000000001</v>
      </c>
      <c r="G86" s="136">
        <f t="shared" si="58"/>
        <v>64676.620800000004</v>
      </c>
      <c r="H86" s="136">
        <f t="shared" si="62"/>
        <v>49703.64</v>
      </c>
      <c r="I86" s="136">
        <f t="shared" si="44"/>
        <v>8400</v>
      </c>
      <c r="J86" s="143">
        <v>1926</v>
      </c>
      <c r="K86" s="136">
        <f>10080*12</f>
        <v>120960</v>
      </c>
      <c r="L86" s="136">
        <v>93</v>
      </c>
      <c r="M86" s="136">
        <f t="shared" si="59"/>
        <v>4478.4336000000003</v>
      </c>
      <c r="N86" s="136">
        <f t="shared" si="64"/>
        <v>24498.720000000001</v>
      </c>
      <c r="O86" s="136"/>
      <c r="P86" s="136"/>
    </row>
    <row r="87" spans="1:16" x14ac:dyDescent="0.2">
      <c r="A87" s="134" t="s">
        <v>49</v>
      </c>
      <c r="B87" s="155"/>
      <c r="C87" s="134" t="s">
        <v>366</v>
      </c>
      <c r="D87" s="134">
        <v>8</v>
      </c>
      <c r="E87" s="136">
        <f t="shared" si="61"/>
        <v>531012.11050000007</v>
      </c>
      <c r="F87" s="136">
        <f>21595*(B$5+1)*12</f>
        <v>277279.80000000005</v>
      </c>
      <c r="G87" s="136">
        <f>F87*0.22</f>
        <v>61001.556000000011</v>
      </c>
      <c r="H87" s="136">
        <f t="shared" si="62"/>
        <v>49703.64</v>
      </c>
      <c r="I87" s="136">
        <f t="shared" si="44"/>
        <v>8400</v>
      </c>
      <c r="J87" s="143">
        <v>1926</v>
      </c>
      <c r="K87" s="136">
        <f>8780*12</f>
        <v>105360</v>
      </c>
      <c r="L87" s="136">
        <v>93</v>
      </c>
      <c r="M87" s="136">
        <f t="shared" si="59"/>
        <v>4141.464500000001</v>
      </c>
      <c r="N87" s="136">
        <f>F87/12</f>
        <v>23106.650000000005</v>
      </c>
      <c r="O87" s="136"/>
      <c r="P87" s="136"/>
    </row>
    <row r="88" spans="1:16" s="148" customFormat="1" x14ac:dyDescent="0.2">
      <c r="A88" s="145" t="s">
        <v>49</v>
      </c>
      <c r="B88" s="156"/>
      <c r="C88" s="145" t="s">
        <v>34</v>
      </c>
      <c r="D88" s="145">
        <v>8</v>
      </c>
      <c r="E88" s="146"/>
      <c r="F88" s="146"/>
      <c r="G88" s="146"/>
      <c r="H88" s="146"/>
      <c r="I88" s="146"/>
      <c r="J88" s="147"/>
      <c r="K88" s="146"/>
      <c r="L88" s="146"/>
      <c r="M88" s="146"/>
      <c r="N88" s="146"/>
      <c r="O88" s="146"/>
      <c r="P88" s="146"/>
    </row>
    <row r="89" spans="1:16" x14ac:dyDescent="0.2">
      <c r="A89" s="134" t="s">
        <v>727</v>
      </c>
      <c r="B89" s="134"/>
      <c r="C89" s="134" t="s">
        <v>25</v>
      </c>
      <c r="D89" s="134">
        <v>6</v>
      </c>
      <c r="E89" s="136">
        <f t="shared" ref="E89:E124" si="65">SUM(F89:P89)</f>
        <v>656499.08219999995</v>
      </c>
      <c r="F89" s="136">
        <f>28098*(B$5+1)*12</f>
        <v>360778.32</v>
      </c>
      <c r="G89" s="136">
        <f t="shared" si="38"/>
        <v>79371.2304</v>
      </c>
      <c r="H89" s="136">
        <f t="shared" si="53"/>
        <v>49703.64</v>
      </c>
      <c r="I89" s="136">
        <f t="shared" si="44"/>
        <v>8400</v>
      </c>
      <c r="J89" s="143">
        <v>1926</v>
      </c>
      <c r="K89" s="136">
        <f>10080*12</f>
        <v>120960</v>
      </c>
      <c r="L89" s="136">
        <v>93</v>
      </c>
      <c r="M89" s="136">
        <f t="shared" si="40"/>
        <v>5202.0317999999997</v>
      </c>
      <c r="N89" s="136">
        <f t="shared" si="41"/>
        <v>30064.86</v>
      </c>
      <c r="O89" s="136"/>
      <c r="P89" s="136"/>
    </row>
    <row r="90" spans="1:16" x14ac:dyDescent="0.2">
      <c r="A90" s="134" t="s">
        <v>724</v>
      </c>
      <c r="B90" s="134"/>
      <c r="C90" s="134" t="s">
        <v>447</v>
      </c>
      <c r="D90" s="134">
        <v>8</v>
      </c>
      <c r="E90" s="136">
        <f t="shared" ref="E90:E91" si="66">SUM(F90:P90)</f>
        <v>424598.51050000009</v>
      </c>
      <c r="F90" s="136">
        <f>21595*(B$5+1)*12</f>
        <v>277279.80000000005</v>
      </c>
      <c r="G90" s="136">
        <f t="shared" ref="G90:G91" si="67">F90*0.22</f>
        <v>61001.556000000011</v>
      </c>
      <c r="H90" s="136">
        <f t="shared" si="53"/>
        <v>49703.64</v>
      </c>
      <c r="I90" s="136">
        <f t="shared" si="44"/>
        <v>8400</v>
      </c>
      <c r="J90" s="143">
        <v>1926</v>
      </c>
      <c r="K90" s="136">
        <f t="shared" ref="K90:K91" si="68">0*12</f>
        <v>0</v>
      </c>
      <c r="L90" s="136">
        <v>93</v>
      </c>
      <c r="M90" s="136">
        <f t="shared" ref="M90:M91" si="69">(N90+I90+K90+F90)*0.01</f>
        <v>3087.8645000000006</v>
      </c>
      <c r="N90" s="136">
        <f t="shared" ref="N90:N91" si="70">F90/12</f>
        <v>23106.650000000005</v>
      </c>
      <c r="O90" s="136"/>
      <c r="P90" s="136"/>
    </row>
    <row r="91" spans="1:16" x14ac:dyDescent="0.2">
      <c r="A91" s="134" t="s">
        <v>724</v>
      </c>
      <c r="B91" s="134"/>
      <c r="C91" s="134" t="s">
        <v>29</v>
      </c>
      <c r="D91" s="134">
        <v>8</v>
      </c>
      <c r="E91" s="136">
        <f t="shared" si="66"/>
        <v>424598.51050000009</v>
      </c>
      <c r="F91" s="136">
        <f>21595*(B$5+1)*12</f>
        <v>277279.80000000005</v>
      </c>
      <c r="G91" s="136">
        <f t="shared" si="67"/>
        <v>61001.556000000011</v>
      </c>
      <c r="H91" s="136">
        <f t="shared" si="53"/>
        <v>49703.64</v>
      </c>
      <c r="I91" s="136">
        <f t="shared" si="44"/>
        <v>8400</v>
      </c>
      <c r="J91" s="143">
        <v>1926</v>
      </c>
      <c r="K91" s="136">
        <f t="shared" si="68"/>
        <v>0</v>
      </c>
      <c r="L91" s="136">
        <v>93</v>
      </c>
      <c r="M91" s="136">
        <f t="shared" si="69"/>
        <v>3087.8645000000006</v>
      </c>
      <c r="N91" s="136">
        <f t="shared" si="70"/>
        <v>23106.650000000005</v>
      </c>
      <c r="O91" s="136"/>
      <c r="P91" s="136"/>
    </row>
    <row r="92" spans="1:16" x14ac:dyDescent="0.2">
      <c r="A92" s="134"/>
      <c r="B92" s="155"/>
      <c r="C92" s="134"/>
      <c r="D92" s="134"/>
      <c r="E92" s="136"/>
      <c r="F92" s="136"/>
      <c r="G92" s="136"/>
      <c r="H92" s="136"/>
      <c r="I92" s="136"/>
      <c r="J92" s="143"/>
      <c r="K92" s="136"/>
      <c r="L92" s="136"/>
      <c r="M92" s="136"/>
      <c r="N92" s="136"/>
      <c r="O92" s="136"/>
      <c r="P92" s="136"/>
    </row>
    <row r="93" spans="1:16" x14ac:dyDescent="0.2">
      <c r="A93" s="134"/>
      <c r="B93" s="134"/>
      <c r="C93" s="134"/>
      <c r="D93" s="134"/>
      <c r="E93" s="136"/>
      <c r="F93" s="136"/>
      <c r="G93" s="136"/>
      <c r="H93" s="136"/>
      <c r="I93" s="136"/>
      <c r="J93" s="143"/>
      <c r="K93" s="136"/>
      <c r="L93" s="136"/>
      <c r="M93" s="136"/>
      <c r="N93" s="136"/>
      <c r="O93" s="136"/>
      <c r="P93" s="136"/>
    </row>
    <row r="94" spans="1:16" x14ac:dyDescent="0.2">
      <c r="A94" s="133" t="s">
        <v>560</v>
      </c>
      <c r="B94" s="134"/>
      <c r="C94" s="134"/>
      <c r="D94" s="134"/>
      <c r="E94" s="136"/>
      <c r="F94" s="136"/>
      <c r="G94" s="136"/>
      <c r="H94" s="136"/>
      <c r="I94" s="136"/>
      <c r="J94" s="143"/>
      <c r="K94" s="136"/>
      <c r="L94" s="136"/>
      <c r="M94" s="136"/>
      <c r="N94" s="136"/>
      <c r="O94" s="136"/>
      <c r="P94" s="136"/>
    </row>
    <row r="95" spans="1:16" x14ac:dyDescent="0.2">
      <c r="A95" s="133"/>
      <c r="B95" s="134"/>
      <c r="C95" s="134"/>
      <c r="D95" s="134"/>
      <c r="E95" s="136"/>
      <c r="F95" s="136"/>
      <c r="G95" s="136"/>
      <c r="H95" s="136"/>
      <c r="I95" s="136"/>
      <c r="J95" s="143"/>
      <c r="K95" s="136"/>
      <c r="L95" s="136"/>
      <c r="M95" s="136"/>
      <c r="N95" s="136"/>
      <c r="O95" s="136"/>
      <c r="P95" s="136"/>
    </row>
    <row r="96" spans="1:16" x14ac:dyDescent="0.2">
      <c r="A96" s="153" t="s">
        <v>708</v>
      </c>
      <c r="B96" s="134"/>
      <c r="C96" s="134" t="s">
        <v>540</v>
      </c>
      <c r="D96" s="134">
        <v>2</v>
      </c>
      <c r="E96" s="136">
        <f t="shared" ref="E96" si="71">SUM(F96:P96)</f>
        <v>1011804.6731000001</v>
      </c>
      <c r="F96" s="136">
        <f>47129*(B$5+1)*12</f>
        <v>605136.3600000001</v>
      </c>
      <c r="G96" s="136">
        <f t="shared" ref="G96" si="72">F96*0.22</f>
        <v>133129.99920000002</v>
      </c>
      <c r="H96" s="136">
        <f t="shared" ref="H96:H105" si="73">3871*(B$6+1)*12</f>
        <v>49703.64</v>
      </c>
      <c r="I96" s="136">
        <f t="shared" si="44"/>
        <v>8400</v>
      </c>
      <c r="J96" s="143">
        <v>1926</v>
      </c>
      <c r="K96" s="136">
        <f t="shared" ref="K96" si="74">12900*12</f>
        <v>154800</v>
      </c>
      <c r="L96" s="136">
        <v>93</v>
      </c>
      <c r="M96" s="136">
        <f t="shared" ref="M96" si="75">(N96+I96+K96+F96)*0.01</f>
        <v>8187.6439000000018</v>
      </c>
      <c r="N96" s="136">
        <f t="shared" ref="N96" si="76">F96/12</f>
        <v>50428.030000000006</v>
      </c>
      <c r="O96" s="136"/>
      <c r="P96" s="136"/>
    </row>
    <row r="97" spans="1:16" x14ac:dyDescent="0.2">
      <c r="A97" s="134" t="s">
        <v>715</v>
      </c>
      <c r="B97" s="134"/>
      <c r="C97" s="134" t="s">
        <v>517</v>
      </c>
      <c r="D97" s="134" t="s">
        <v>348</v>
      </c>
      <c r="E97" s="136">
        <f t="shared" ref="E97" si="77">SUM(F97:P97)</f>
        <v>912075.38430000003</v>
      </c>
      <c r="F97" s="136">
        <f>41937*(B$5+1)*12</f>
        <v>538471.08000000007</v>
      </c>
      <c r="G97" s="136">
        <f t="shared" ref="G97:G98" si="78">F97*0.22</f>
        <v>118463.63760000002</v>
      </c>
      <c r="H97" s="136">
        <f t="shared" si="73"/>
        <v>49703.64</v>
      </c>
      <c r="I97" s="136">
        <f t="shared" si="44"/>
        <v>8400</v>
      </c>
      <c r="J97" s="143">
        <v>1926</v>
      </c>
      <c r="K97" s="136">
        <f t="shared" ref="K97" si="79">11900*12</f>
        <v>142800</v>
      </c>
      <c r="L97" s="136">
        <v>93</v>
      </c>
      <c r="M97" s="136">
        <f t="shared" ref="M97:M98" si="80">(N97+I97+K97+F97)*0.01</f>
        <v>7345.4367000000002</v>
      </c>
      <c r="N97" s="136">
        <f>F97/12</f>
        <v>44872.590000000004</v>
      </c>
      <c r="O97" s="136"/>
      <c r="P97" s="136"/>
    </row>
    <row r="98" spans="1:16" x14ac:dyDescent="0.2">
      <c r="A98" s="134" t="s">
        <v>716</v>
      </c>
      <c r="B98" s="134"/>
      <c r="C98" s="134" t="s">
        <v>291</v>
      </c>
      <c r="D98" s="134">
        <v>5</v>
      </c>
      <c r="E98" s="136">
        <f t="shared" ref="E98" si="81">SUM(F98:P98)</f>
        <v>718949.3861</v>
      </c>
      <c r="F98" s="136">
        <f>31799*(B$5+1)*12</f>
        <v>408299.16000000003</v>
      </c>
      <c r="G98" s="136">
        <f t="shared" si="78"/>
        <v>89825.815200000012</v>
      </c>
      <c r="H98" s="136">
        <f t="shared" ref="H98" si="82">3871*(B$6+1)*12</f>
        <v>49703.64</v>
      </c>
      <c r="I98" s="136">
        <f t="shared" si="44"/>
        <v>8400</v>
      </c>
      <c r="J98" s="143">
        <v>1926</v>
      </c>
      <c r="K98" s="136">
        <f t="shared" ref="K98" si="83">10080*12</f>
        <v>120960</v>
      </c>
      <c r="L98" s="136">
        <v>93</v>
      </c>
      <c r="M98" s="136">
        <f t="shared" si="80"/>
        <v>5716.8409000000011</v>
      </c>
      <c r="N98" s="136">
        <f>F98/12</f>
        <v>34024.93</v>
      </c>
      <c r="O98" s="136"/>
      <c r="P98" s="136"/>
    </row>
    <row r="99" spans="1:16" x14ac:dyDescent="0.2">
      <c r="A99" s="134" t="s">
        <v>717</v>
      </c>
      <c r="B99" s="134"/>
      <c r="C99" s="134" t="s">
        <v>349</v>
      </c>
      <c r="D99" s="134">
        <v>6</v>
      </c>
      <c r="E99" s="136">
        <f t="shared" si="65"/>
        <v>534329.48220000009</v>
      </c>
      <c r="F99" s="136">
        <f>28098*(B$5+1)*12</f>
        <v>360778.32</v>
      </c>
      <c r="G99" s="136">
        <f>F99*0.22</f>
        <v>79371.2304</v>
      </c>
      <c r="H99" s="136">
        <f t="shared" si="73"/>
        <v>49703.64</v>
      </c>
      <c r="I99" s="136">
        <f t="shared" si="44"/>
        <v>8400</v>
      </c>
      <c r="J99" s="143">
        <v>1926</v>
      </c>
      <c r="K99" s="136">
        <v>0</v>
      </c>
      <c r="L99" s="136">
        <v>93</v>
      </c>
      <c r="M99" s="136">
        <f t="shared" si="40"/>
        <v>3992.4317999999998</v>
      </c>
      <c r="N99" s="136">
        <f t="shared" si="41"/>
        <v>30064.86</v>
      </c>
      <c r="O99" s="136"/>
      <c r="P99" s="136"/>
    </row>
    <row r="100" spans="1:16" x14ac:dyDescent="0.2">
      <c r="A100" s="134" t="s">
        <v>717</v>
      </c>
      <c r="B100" s="134"/>
      <c r="C100" s="134" t="s">
        <v>506</v>
      </c>
      <c r="D100" s="134">
        <v>6</v>
      </c>
      <c r="E100" s="136">
        <f t="shared" ref="E100" si="84">SUM(F100:P100)</f>
        <v>489714.89060000004</v>
      </c>
      <c r="F100" s="136">
        <f>25454*(B$5+1)*12</f>
        <v>326829.36000000004</v>
      </c>
      <c r="G100" s="136">
        <f>F100*0.22</f>
        <v>71902.459200000012</v>
      </c>
      <c r="H100" s="136">
        <f t="shared" ref="H100" si="85">3871*(B$6+1)*12</f>
        <v>49703.64</v>
      </c>
      <c r="I100" s="136">
        <f t="shared" si="44"/>
        <v>8400</v>
      </c>
      <c r="J100" s="143">
        <v>1926</v>
      </c>
      <c r="K100" s="136">
        <v>0</v>
      </c>
      <c r="L100" s="136">
        <v>93</v>
      </c>
      <c r="M100" s="136">
        <f t="shared" ref="M100" si="86">(N100+I100+K100+F100)*0.01</f>
        <v>3624.6514000000002</v>
      </c>
      <c r="N100" s="136">
        <f t="shared" si="41"/>
        <v>27235.780000000002</v>
      </c>
      <c r="O100" s="136"/>
      <c r="P100" s="136"/>
    </row>
    <row r="101" spans="1:16" x14ac:dyDescent="0.2">
      <c r="A101" s="134" t="s">
        <v>719</v>
      </c>
      <c r="B101" s="134"/>
      <c r="C101" s="134" t="s">
        <v>26</v>
      </c>
      <c r="D101" s="134">
        <v>6</v>
      </c>
      <c r="E101" s="136">
        <f t="shared" si="65"/>
        <v>534329.48220000009</v>
      </c>
      <c r="F101" s="136">
        <f>28098*(B$5+1)*12</f>
        <v>360778.32</v>
      </c>
      <c r="G101" s="136">
        <f t="shared" si="38"/>
        <v>79371.2304</v>
      </c>
      <c r="H101" s="136">
        <f t="shared" si="73"/>
        <v>49703.64</v>
      </c>
      <c r="I101" s="136">
        <f t="shared" si="44"/>
        <v>8400</v>
      </c>
      <c r="J101" s="143">
        <v>1926</v>
      </c>
      <c r="K101" s="136">
        <v>0</v>
      </c>
      <c r="L101" s="136">
        <v>93</v>
      </c>
      <c r="M101" s="136">
        <f t="shared" si="40"/>
        <v>3992.4317999999998</v>
      </c>
      <c r="N101" s="136">
        <f t="shared" ref="N101:N103" si="87">F101/12</f>
        <v>30064.86</v>
      </c>
      <c r="O101" s="136"/>
      <c r="P101" s="136"/>
    </row>
    <row r="102" spans="1:16" x14ac:dyDescent="0.2">
      <c r="A102" s="134" t="s">
        <v>720</v>
      </c>
      <c r="B102" s="134"/>
      <c r="C102" s="134" t="s">
        <v>292</v>
      </c>
      <c r="D102" s="134">
        <v>7</v>
      </c>
      <c r="E102" s="136">
        <f t="shared" ref="E102" si="88">SUM(F102:P102)</f>
        <v>470090.54490000004</v>
      </c>
      <c r="F102" s="136">
        <f>24291*(B$5+1)*12</f>
        <v>311896.44000000006</v>
      </c>
      <c r="G102" s="136">
        <f t="shared" si="38"/>
        <v>68617.216800000009</v>
      </c>
      <c r="H102" s="136">
        <f t="shared" ref="H102" si="89">3871*(B$6+1)*12</f>
        <v>49703.64</v>
      </c>
      <c r="I102" s="136">
        <f t="shared" si="44"/>
        <v>8400</v>
      </c>
      <c r="J102" s="143">
        <v>1926</v>
      </c>
      <c r="K102" s="136">
        <f t="shared" ref="K102:K105" si="90">0*12</f>
        <v>0</v>
      </c>
      <c r="L102" s="136">
        <v>93</v>
      </c>
      <c r="M102" s="136">
        <f t="shared" si="40"/>
        <v>3462.8781000000008</v>
      </c>
      <c r="N102" s="136">
        <f t="shared" si="87"/>
        <v>25991.370000000006</v>
      </c>
      <c r="O102" s="136"/>
      <c r="P102" s="136"/>
    </row>
    <row r="103" spans="1:16" x14ac:dyDescent="0.2">
      <c r="A103" s="134" t="s">
        <v>728</v>
      </c>
      <c r="B103" s="134"/>
      <c r="C103" s="134" t="s">
        <v>31</v>
      </c>
      <c r="D103" s="134">
        <v>8</v>
      </c>
      <c r="E103" s="136">
        <f t="shared" si="65"/>
        <v>424598.51050000009</v>
      </c>
      <c r="F103" s="136">
        <f>21595*(B$5+1)*12</f>
        <v>277279.80000000005</v>
      </c>
      <c r="G103" s="136">
        <f>F103*0.22</f>
        <v>61001.556000000011</v>
      </c>
      <c r="H103" s="136">
        <f t="shared" si="73"/>
        <v>49703.64</v>
      </c>
      <c r="I103" s="136">
        <f t="shared" si="44"/>
        <v>8400</v>
      </c>
      <c r="J103" s="143">
        <v>1926</v>
      </c>
      <c r="K103" s="136">
        <v>0</v>
      </c>
      <c r="L103" s="136">
        <v>93</v>
      </c>
      <c r="M103" s="136">
        <f t="shared" si="40"/>
        <v>3087.8645000000006</v>
      </c>
      <c r="N103" s="136">
        <f t="shared" si="87"/>
        <v>23106.650000000005</v>
      </c>
      <c r="O103" s="136"/>
      <c r="P103" s="136"/>
    </row>
    <row r="104" spans="1:16" s="148" customFormat="1" x14ac:dyDescent="0.2">
      <c r="A104" s="145" t="s">
        <v>728</v>
      </c>
      <c r="B104" s="145"/>
      <c r="C104" s="145" t="s">
        <v>34</v>
      </c>
      <c r="D104" s="145">
        <v>8</v>
      </c>
      <c r="E104" s="146"/>
      <c r="F104" s="146"/>
      <c r="G104" s="146"/>
      <c r="H104" s="146"/>
      <c r="I104" s="146"/>
      <c r="J104" s="147"/>
      <c r="K104" s="146"/>
      <c r="L104" s="146"/>
      <c r="M104" s="146"/>
      <c r="N104" s="146"/>
      <c r="O104" s="146"/>
      <c r="P104" s="146"/>
    </row>
    <row r="105" spans="1:16" x14ac:dyDescent="0.2">
      <c r="A105" s="134" t="s">
        <v>50</v>
      </c>
      <c r="B105" s="134"/>
      <c r="C105" s="134" t="s">
        <v>30</v>
      </c>
      <c r="D105" s="134">
        <v>9</v>
      </c>
      <c r="E105" s="136">
        <f t="shared" ref="E105" si="91">SUM(F105:P105)</f>
        <v>382059.40860000002</v>
      </c>
      <c r="F105" s="136">
        <f>19074*(B$5+1)*12</f>
        <v>244910.16</v>
      </c>
      <c r="G105" s="136">
        <f t="shared" ref="G105" si="92">F105*0.22</f>
        <v>53880.235200000003</v>
      </c>
      <c r="H105" s="136">
        <f t="shared" si="73"/>
        <v>49703.64</v>
      </c>
      <c r="I105" s="136">
        <f t="shared" si="44"/>
        <v>8400</v>
      </c>
      <c r="J105" s="143">
        <v>1926</v>
      </c>
      <c r="K105" s="136">
        <f t="shared" si="90"/>
        <v>0</v>
      </c>
      <c r="L105" s="136">
        <v>93</v>
      </c>
      <c r="M105" s="136">
        <f t="shared" ref="M105" si="93">(N105+I105+K105+F105)*0.01</f>
        <v>2737.1934000000001</v>
      </c>
      <c r="N105" s="136">
        <f t="shared" ref="N105" si="94">F105/12</f>
        <v>20409.18</v>
      </c>
      <c r="O105" s="136"/>
      <c r="P105" s="136"/>
    </row>
    <row r="106" spans="1:16" x14ac:dyDescent="0.2">
      <c r="A106" s="145"/>
      <c r="B106" s="145"/>
      <c r="C106" s="145"/>
      <c r="D106" s="145"/>
      <c r="E106" s="146"/>
      <c r="F106" s="146"/>
      <c r="G106" s="146"/>
      <c r="H106" s="146"/>
      <c r="I106" s="146"/>
      <c r="J106" s="147"/>
      <c r="K106" s="146"/>
      <c r="L106" s="146"/>
      <c r="M106" s="146"/>
      <c r="N106" s="146"/>
      <c r="O106" s="146"/>
      <c r="P106" s="146"/>
    </row>
    <row r="107" spans="1:16" x14ac:dyDescent="0.2">
      <c r="A107" s="133" t="s">
        <v>563</v>
      </c>
      <c r="B107" s="134"/>
      <c r="C107" s="134"/>
      <c r="D107" s="134"/>
      <c r="E107" s="136"/>
      <c r="F107" s="136"/>
      <c r="G107" s="136"/>
      <c r="H107" s="136"/>
      <c r="I107" s="136"/>
      <c r="J107" s="143"/>
      <c r="K107" s="136"/>
      <c r="L107" s="136"/>
      <c r="M107" s="136"/>
      <c r="N107" s="136"/>
      <c r="O107" s="136"/>
      <c r="P107" s="136"/>
    </row>
    <row r="108" spans="1:16" x14ac:dyDescent="0.2">
      <c r="A108" s="133"/>
      <c r="B108" s="134"/>
      <c r="C108" s="134"/>
      <c r="D108" s="134"/>
      <c r="E108" s="136"/>
      <c r="F108" s="136"/>
      <c r="G108" s="136"/>
      <c r="H108" s="136"/>
      <c r="I108" s="136"/>
      <c r="J108" s="143"/>
      <c r="K108" s="136"/>
      <c r="L108" s="136"/>
      <c r="M108" s="136"/>
      <c r="N108" s="136"/>
      <c r="O108" s="136"/>
      <c r="P108" s="136"/>
    </row>
    <row r="109" spans="1:16" x14ac:dyDescent="0.2">
      <c r="A109" s="134" t="s">
        <v>710</v>
      </c>
      <c r="B109" s="134"/>
      <c r="C109" s="134" t="s">
        <v>368</v>
      </c>
      <c r="D109" s="134">
        <v>2</v>
      </c>
      <c r="E109" s="136">
        <f t="shared" ref="E109" si="95">SUM(F109:P109)</f>
        <v>1011804.6731000001</v>
      </c>
      <c r="F109" s="136">
        <f>47129*(B$5+1)*12</f>
        <v>605136.3600000001</v>
      </c>
      <c r="G109" s="136">
        <f>F109*0.22</f>
        <v>133129.99920000002</v>
      </c>
      <c r="H109" s="136">
        <f t="shared" ref="H109:H112" si="96">3871*(B$6+1)*12</f>
        <v>49703.64</v>
      </c>
      <c r="I109" s="136">
        <f t="shared" si="44"/>
        <v>8400</v>
      </c>
      <c r="J109" s="143">
        <v>1926</v>
      </c>
      <c r="K109" s="136">
        <f t="shared" ref="K109" si="97">12900*12</f>
        <v>154800</v>
      </c>
      <c r="L109" s="136">
        <v>93</v>
      </c>
      <c r="M109" s="136">
        <f>(N109+I109+K109+F109)*0.01</f>
        <v>8187.6439000000018</v>
      </c>
      <c r="N109" s="136">
        <f t="shared" ref="N109" si="98">F109/12</f>
        <v>50428.030000000006</v>
      </c>
      <c r="O109" s="136"/>
      <c r="P109" s="136"/>
    </row>
    <row r="110" spans="1:16" s="148" customFormat="1" x14ac:dyDescent="0.2">
      <c r="A110" s="145" t="s">
        <v>723</v>
      </c>
      <c r="B110" s="145"/>
      <c r="C110" s="145" t="s">
        <v>34</v>
      </c>
      <c r="D110" s="145">
        <v>5</v>
      </c>
      <c r="E110" s="146">
        <f t="shared" ref="E110" si="99">SUM(F110:P110)</f>
        <v>718949.3861</v>
      </c>
      <c r="F110" s="146">
        <f>31799*(B$5+1)*12</f>
        <v>408299.16000000003</v>
      </c>
      <c r="G110" s="146">
        <f t="shared" ref="G110:G112" si="100">F110*0.22</f>
        <v>89825.815200000012</v>
      </c>
      <c r="H110" s="146">
        <f t="shared" si="96"/>
        <v>49703.64</v>
      </c>
      <c r="I110" s="146">
        <f t="shared" si="44"/>
        <v>8400</v>
      </c>
      <c r="J110" s="147">
        <v>1926</v>
      </c>
      <c r="K110" s="146">
        <f t="shared" ref="K110" si="101">10080*12</f>
        <v>120960</v>
      </c>
      <c r="L110" s="146">
        <v>93</v>
      </c>
      <c r="M110" s="146">
        <f t="shared" ref="M110:M112" si="102">(N110+I110+K110+F110)*0.01</f>
        <v>5716.8409000000011</v>
      </c>
      <c r="N110" s="146">
        <f>F110/12</f>
        <v>34024.93</v>
      </c>
      <c r="O110" s="146"/>
      <c r="P110" s="146"/>
    </row>
    <row r="111" spans="1:16" x14ac:dyDescent="0.2">
      <c r="A111" s="145" t="s">
        <v>428</v>
      </c>
      <c r="B111" s="145"/>
      <c r="C111" s="145" t="s">
        <v>34</v>
      </c>
      <c r="D111" s="145">
        <v>8</v>
      </c>
      <c r="E111" s="136">
        <f t="shared" ref="E111:E112" si="103">SUM(F111:P111)</f>
        <v>424598.51050000009</v>
      </c>
      <c r="F111" s="136">
        <f t="shared" ref="F111:F112" si="104">21595*(B$5+1)*12</f>
        <v>277279.80000000005</v>
      </c>
      <c r="G111" s="136">
        <f t="shared" si="100"/>
        <v>61001.556000000011</v>
      </c>
      <c r="H111" s="136">
        <f t="shared" si="96"/>
        <v>49703.64</v>
      </c>
      <c r="I111" s="136">
        <f t="shared" si="44"/>
        <v>8400</v>
      </c>
      <c r="J111" s="143">
        <v>1926</v>
      </c>
      <c r="K111" s="136">
        <v>0</v>
      </c>
      <c r="L111" s="136">
        <v>93</v>
      </c>
      <c r="M111" s="136">
        <f t="shared" si="102"/>
        <v>3087.8645000000006</v>
      </c>
      <c r="N111" s="136">
        <f t="shared" ref="N111:N112" si="105">F111/12</f>
        <v>23106.650000000005</v>
      </c>
      <c r="O111" s="146"/>
      <c r="P111" s="146"/>
    </row>
    <row r="112" spans="1:16" x14ac:dyDescent="0.2">
      <c r="A112" s="145" t="s">
        <v>428</v>
      </c>
      <c r="B112" s="145"/>
      <c r="C112" s="145" t="s">
        <v>34</v>
      </c>
      <c r="D112" s="145">
        <v>8</v>
      </c>
      <c r="E112" s="136">
        <f t="shared" si="103"/>
        <v>424598.51050000009</v>
      </c>
      <c r="F112" s="136">
        <f t="shared" si="104"/>
        <v>277279.80000000005</v>
      </c>
      <c r="G112" s="136">
        <f t="shared" si="100"/>
        <v>61001.556000000011</v>
      </c>
      <c r="H112" s="136">
        <f t="shared" si="96"/>
        <v>49703.64</v>
      </c>
      <c r="I112" s="136">
        <f t="shared" si="44"/>
        <v>8400</v>
      </c>
      <c r="J112" s="143">
        <v>1926</v>
      </c>
      <c r="K112" s="136">
        <v>0</v>
      </c>
      <c r="L112" s="136">
        <v>93</v>
      </c>
      <c r="M112" s="136">
        <f t="shared" si="102"/>
        <v>3087.8645000000006</v>
      </c>
      <c r="N112" s="136">
        <f t="shared" si="105"/>
        <v>23106.650000000005</v>
      </c>
      <c r="O112" s="146"/>
      <c r="P112" s="146"/>
    </row>
    <row r="113" spans="1:16" x14ac:dyDescent="0.2">
      <c r="A113" s="134"/>
      <c r="B113" s="134"/>
      <c r="C113" s="134"/>
      <c r="D113" s="134"/>
      <c r="E113" s="136"/>
      <c r="F113" s="136"/>
      <c r="G113" s="136"/>
      <c r="H113" s="136"/>
      <c r="I113" s="136"/>
      <c r="J113" s="143"/>
      <c r="K113" s="136"/>
      <c r="L113" s="136"/>
      <c r="M113" s="136"/>
      <c r="N113" s="136"/>
      <c r="O113" s="136"/>
      <c r="P113" s="136"/>
    </row>
    <row r="114" spans="1:16" x14ac:dyDescent="0.2">
      <c r="A114" s="134"/>
      <c r="B114" s="155"/>
      <c r="C114" s="134"/>
      <c r="D114" s="134"/>
      <c r="E114" s="136"/>
      <c r="F114" s="136"/>
      <c r="G114" s="136"/>
      <c r="H114" s="136"/>
      <c r="I114" s="136"/>
      <c r="J114" s="143"/>
      <c r="K114" s="136"/>
      <c r="L114" s="136"/>
      <c r="M114" s="136"/>
      <c r="N114" s="136"/>
      <c r="O114" s="136"/>
      <c r="P114" s="136"/>
    </row>
    <row r="115" spans="1:16" s="160" customFormat="1" x14ac:dyDescent="0.2">
      <c r="A115" s="133" t="s">
        <v>562</v>
      </c>
      <c r="B115" s="157"/>
      <c r="C115" s="133"/>
      <c r="D115" s="133"/>
      <c r="E115" s="158"/>
      <c r="F115" s="158"/>
      <c r="G115" s="158"/>
      <c r="H115" s="158"/>
      <c r="I115" s="158"/>
      <c r="J115" s="159"/>
      <c r="K115" s="158"/>
      <c r="L115" s="158"/>
      <c r="M115" s="158"/>
      <c r="N115" s="158"/>
      <c r="O115" s="158"/>
      <c r="P115" s="158"/>
    </row>
    <row r="116" spans="1:16" x14ac:dyDescent="0.2">
      <c r="A116" s="134"/>
      <c r="B116" s="155"/>
      <c r="C116" s="134"/>
      <c r="D116" s="134"/>
      <c r="E116" s="136"/>
      <c r="F116" s="136"/>
      <c r="G116" s="136"/>
      <c r="H116" s="136"/>
      <c r="I116" s="136"/>
      <c r="J116" s="143"/>
      <c r="K116" s="136"/>
      <c r="L116" s="136"/>
      <c r="M116" s="136"/>
      <c r="N116" s="136"/>
      <c r="O116" s="136"/>
      <c r="P116" s="136"/>
    </row>
    <row r="117" spans="1:16" x14ac:dyDescent="0.2">
      <c r="A117" s="134" t="s">
        <v>504</v>
      </c>
      <c r="B117" s="155"/>
      <c r="C117" s="134" t="s">
        <v>34</v>
      </c>
      <c r="D117" s="134"/>
      <c r="E117" s="136">
        <f t="shared" si="65"/>
        <v>136723</v>
      </c>
      <c r="F117" s="136">
        <f>10525*(B$5+1)*12</f>
        <v>135141</v>
      </c>
      <c r="G117" s="136">
        <v>1489</v>
      </c>
      <c r="H117" s="136"/>
      <c r="I117" s="136"/>
      <c r="J117" s="143"/>
      <c r="K117" s="136"/>
      <c r="L117" s="136">
        <v>93</v>
      </c>
      <c r="M117" s="136"/>
      <c r="N117" s="136"/>
      <c r="O117" s="136"/>
      <c r="P117" s="136"/>
    </row>
    <row r="118" spans="1:16" x14ac:dyDescent="0.2">
      <c r="A118" s="134" t="s">
        <v>504</v>
      </c>
      <c r="B118" s="155"/>
      <c r="C118" s="134" t="s">
        <v>796</v>
      </c>
      <c r="D118" s="134"/>
      <c r="E118" s="136">
        <f t="shared" si="65"/>
        <v>136723</v>
      </c>
      <c r="F118" s="136">
        <f>10525*(B$5+1)*12</f>
        <v>135141</v>
      </c>
      <c r="G118" s="136">
        <v>1489</v>
      </c>
      <c r="H118" s="136"/>
      <c r="I118" s="136"/>
      <c r="J118" s="143"/>
      <c r="K118" s="136"/>
      <c r="L118" s="136">
        <v>93</v>
      </c>
      <c r="M118" s="136"/>
      <c r="N118" s="136"/>
      <c r="O118" s="136"/>
      <c r="P118" s="136"/>
    </row>
    <row r="119" spans="1:16" x14ac:dyDescent="0.2">
      <c r="A119" s="134" t="s">
        <v>504</v>
      </c>
      <c r="B119" s="155"/>
      <c r="C119" s="134" t="s">
        <v>509</v>
      </c>
      <c r="D119" s="134"/>
      <c r="E119" s="136">
        <f t="shared" si="65"/>
        <v>136723</v>
      </c>
      <c r="F119" s="136">
        <f>10525*(B$5+1)*12</f>
        <v>135141</v>
      </c>
      <c r="G119" s="136">
        <v>1489</v>
      </c>
      <c r="H119" s="136"/>
      <c r="I119" s="136"/>
      <c r="J119" s="143"/>
      <c r="K119" s="136"/>
      <c r="L119" s="136">
        <v>93</v>
      </c>
      <c r="M119" s="136"/>
      <c r="N119" s="136"/>
      <c r="O119" s="136"/>
      <c r="P119" s="136"/>
    </row>
    <row r="120" spans="1:16" x14ac:dyDescent="0.2">
      <c r="A120" s="134" t="s">
        <v>504</v>
      </c>
      <c r="B120" s="155"/>
      <c r="C120" s="134" t="s">
        <v>507</v>
      </c>
      <c r="D120" s="134"/>
      <c r="E120" s="136">
        <f t="shared" si="65"/>
        <v>136723</v>
      </c>
      <c r="F120" s="136">
        <f>10525*(B$5+1)*12</f>
        <v>135141</v>
      </c>
      <c r="G120" s="136">
        <v>1489</v>
      </c>
      <c r="H120" s="136"/>
      <c r="I120" s="136"/>
      <c r="J120" s="143"/>
      <c r="K120" s="136"/>
      <c r="L120" s="136">
        <v>93</v>
      </c>
      <c r="M120" s="136"/>
      <c r="N120" s="136"/>
      <c r="O120" s="136"/>
      <c r="P120" s="136"/>
    </row>
    <row r="121" spans="1:16" x14ac:dyDescent="0.2">
      <c r="A121" s="134" t="s">
        <v>504</v>
      </c>
      <c r="B121" s="155"/>
      <c r="C121" s="134" t="s">
        <v>508</v>
      </c>
      <c r="D121" s="134"/>
      <c r="E121" s="136">
        <f t="shared" si="65"/>
        <v>136723</v>
      </c>
      <c r="F121" s="136">
        <f>10525*(B$5+1)*12</f>
        <v>135141</v>
      </c>
      <c r="G121" s="136">
        <v>1489</v>
      </c>
      <c r="H121" s="136"/>
      <c r="I121" s="136"/>
      <c r="J121" s="143"/>
      <c r="K121" s="136"/>
      <c r="L121" s="136">
        <v>93</v>
      </c>
      <c r="M121" s="136"/>
      <c r="N121" s="136"/>
      <c r="O121" s="136"/>
      <c r="P121" s="136"/>
    </row>
    <row r="122" spans="1:16" x14ac:dyDescent="0.2">
      <c r="A122" s="134" t="s">
        <v>329</v>
      </c>
      <c r="B122" s="161"/>
      <c r="C122" s="134"/>
      <c r="D122" s="134"/>
      <c r="E122" s="136">
        <f t="shared" si="65"/>
        <v>0</v>
      </c>
      <c r="F122" s="136"/>
      <c r="G122" s="136"/>
      <c r="H122" s="136"/>
      <c r="I122" s="136"/>
      <c r="J122" s="143"/>
      <c r="K122" s="136"/>
      <c r="L122" s="136"/>
      <c r="M122" s="136"/>
      <c r="N122" s="136"/>
      <c r="O122" s="136"/>
      <c r="P122" s="136"/>
    </row>
    <row r="123" spans="1:16" x14ac:dyDescent="0.2">
      <c r="A123" s="134" t="s">
        <v>157</v>
      </c>
      <c r="B123" s="161"/>
      <c r="C123" s="134"/>
      <c r="D123" s="134"/>
      <c r="E123" s="136">
        <f t="shared" si="65"/>
        <v>150000</v>
      </c>
      <c r="F123" s="136"/>
      <c r="G123" s="136"/>
      <c r="H123" s="136"/>
      <c r="I123" s="136"/>
      <c r="J123" s="143"/>
      <c r="K123" s="136"/>
      <c r="L123" s="136"/>
      <c r="M123" s="136"/>
      <c r="N123" s="136"/>
      <c r="O123" s="136">
        <v>150000</v>
      </c>
      <c r="P123" s="136"/>
    </row>
    <row r="124" spans="1:16" x14ac:dyDescent="0.2">
      <c r="A124" s="134" t="s">
        <v>164</v>
      </c>
      <c r="B124" s="161"/>
      <c r="C124" s="134" t="s">
        <v>164</v>
      </c>
      <c r="D124" s="134"/>
      <c r="E124" s="136">
        <f t="shared" si="65"/>
        <v>50192</v>
      </c>
      <c r="F124" s="136"/>
      <c r="G124" s="136"/>
      <c r="H124" s="136"/>
      <c r="I124" s="136"/>
      <c r="J124" s="143"/>
      <c r="K124" s="136"/>
      <c r="L124" s="136"/>
      <c r="M124" s="136"/>
      <c r="N124" s="136"/>
      <c r="O124" s="136"/>
      <c r="P124" s="136">
        <v>50192</v>
      </c>
    </row>
    <row r="125" spans="1:16" ht="12" thickBot="1" x14ac:dyDescent="0.25">
      <c r="A125" s="134"/>
      <c r="B125" s="134"/>
      <c r="C125" s="134"/>
      <c r="D125" s="134"/>
      <c r="E125" s="149">
        <f t="shared" ref="E125:P125" si="106">SUM(E70:E124)</f>
        <v>18913626.521933336</v>
      </c>
      <c r="F125" s="149">
        <f t="shared" si="106"/>
        <v>11520463.160000002</v>
      </c>
      <c r="G125" s="149">
        <f t="shared" si="106"/>
        <v>2393291.7952000005</v>
      </c>
      <c r="H125" s="149">
        <f t="shared" si="106"/>
        <v>1292294.6399999997</v>
      </c>
      <c r="I125" s="149">
        <f t="shared" si="106"/>
        <v>210000</v>
      </c>
      <c r="J125" s="149">
        <f t="shared" si="106"/>
        <v>50076</v>
      </c>
      <c r="K125" s="149">
        <f t="shared" si="106"/>
        <v>2199120</v>
      </c>
      <c r="L125" s="149">
        <f t="shared" si="106"/>
        <v>2883</v>
      </c>
      <c r="M125" s="149">
        <f t="shared" si="106"/>
        <v>141576.08006666668</v>
      </c>
      <c r="N125" s="149">
        <f t="shared" si="106"/>
        <v>903729.84666666703</v>
      </c>
      <c r="O125" s="149">
        <f t="shared" si="106"/>
        <v>150000</v>
      </c>
      <c r="P125" s="149">
        <f t="shared" si="106"/>
        <v>50192</v>
      </c>
    </row>
    <row r="126" spans="1:16" ht="12" thickTop="1" x14ac:dyDescent="0.2">
      <c r="A126" s="134"/>
      <c r="B126" s="134"/>
      <c r="C126" s="134" t="s">
        <v>199</v>
      </c>
      <c r="D126" s="134">
        <f>COUNT(D70:D125)</f>
        <v>28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</row>
    <row r="127" spans="1:16" x14ac:dyDescent="0.2">
      <c r="A127" s="134"/>
      <c r="B127" s="134"/>
      <c r="C127" s="134"/>
      <c r="D127" s="134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</row>
    <row r="128" spans="1:16" x14ac:dyDescent="0.2">
      <c r="A128" s="135" t="s">
        <v>20</v>
      </c>
      <c r="B128" s="134"/>
      <c r="C128" s="134"/>
      <c r="D128" s="134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</row>
    <row r="129" spans="1:16" x14ac:dyDescent="0.2">
      <c r="A129" s="134"/>
      <c r="B129" s="134"/>
      <c r="C129" s="134" t="s">
        <v>176</v>
      </c>
      <c r="D129" s="141" t="s">
        <v>177</v>
      </c>
      <c r="E129" s="141" t="s">
        <v>178</v>
      </c>
      <c r="F129" s="141" t="s">
        <v>179</v>
      </c>
      <c r="G129" s="141" t="s">
        <v>180</v>
      </c>
      <c r="H129" s="141" t="s">
        <v>181</v>
      </c>
      <c r="I129" s="141" t="s">
        <v>182</v>
      </c>
      <c r="J129" s="141" t="s">
        <v>183</v>
      </c>
      <c r="K129" s="141" t="s">
        <v>184</v>
      </c>
      <c r="L129" s="141" t="s">
        <v>185</v>
      </c>
      <c r="M129" s="141" t="s">
        <v>186</v>
      </c>
      <c r="N129" s="141" t="s">
        <v>187</v>
      </c>
      <c r="O129" s="141" t="s">
        <v>372</v>
      </c>
      <c r="P129" s="136" t="s">
        <v>164</v>
      </c>
    </row>
    <row r="130" spans="1:16" x14ac:dyDescent="0.2">
      <c r="A130" s="134"/>
      <c r="B130" s="134"/>
      <c r="C130" s="134"/>
      <c r="D130" s="141" t="s">
        <v>188</v>
      </c>
      <c r="E130" s="141" t="s">
        <v>189</v>
      </c>
      <c r="F130" s="141"/>
      <c r="G130" s="141" t="s">
        <v>190</v>
      </c>
      <c r="H130" s="141" t="s">
        <v>190</v>
      </c>
      <c r="I130" s="141" t="s">
        <v>191</v>
      </c>
      <c r="J130" s="141"/>
      <c r="K130" s="141" t="s">
        <v>192</v>
      </c>
      <c r="L130" s="141" t="s">
        <v>193</v>
      </c>
      <c r="M130" s="141" t="s">
        <v>194</v>
      </c>
      <c r="N130" s="141" t="s">
        <v>195</v>
      </c>
      <c r="O130" s="141" t="s">
        <v>192</v>
      </c>
      <c r="P130" s="136"/>
    </row>
    <row r="131" spans="1:16" x14ac:dyDescent="0.2">
      <c r="A131" s="153" t="s">
        <v>669</v>
      </c>
      <c r="B131" s="134"/>
      <c r="C131" s="134" t="s">
        <v>36</v>
      </c>
      <c r="D131" s="134">
        <v>0</v>
      </c>
      <c r="E131" s="136">
        <f>SUM(F131:P131)</f>
        <v>1158613.4472000001</v>
      </c>
      <c r="F131" s="136">
        <f>49647*(B$5+1)*12</f>
        <v>637467.48</v>
      </c>
      <c r="G131" s="136">
        <f>51304+(51304*9.5%)</f>
        <v>56177.88</v>
      </c>
      <c r="H131" s="136">
        <f>3871*(B$6+1)*12</f>
        <v>49703.64</v>
      </c>
      <c r="I131" s="136">
        <f>0*12</f>
        <v>0</v>
      </c>
      <c r="J131" s="143">
        <v>1926</v>
      </c>
      <c r="K131" s="136">
        <f>27000*12</f>
        <v>324000</v>
      </c>
      <c r="L131" s="136">
        <v>93</v>
      </c>
      <c r="M131" s="136">
        <v>0</v>
      </c>
      <c r="N131" s="136">
        <f>F131*0.14</f>
        <v>89245.44720000001</v>
      </c>
      <c r="O131" s="136"/>
      <c r="P131" s="136"/>
    </row>
    <row r="132" spans="1:16" x14ac:dyDescent="0.2">
      <c r="A132" s="134" t="s">
        <v>670</v>
      </c>
      <c r="B132" s="161"/>
      <c r="C132" s="134" t="s">
        <v>450</v>
      </c>
      <c r="D132" s="134">
        <v>8</v>
      </c>
      <c r="E132" s="136">
        <f t="shared" ref="E132" si="107">SUM(F132:P132)</f>
        <v>424598.51050000009</v>
      </c>
      <c r="F132" s="136">
        <f>21595*(B$5+1)*12</f>
        <v>277279.80000000005</v>
      </c>
      <c r="G132" s="136">
        <f t="shared" ref="G132" si="108">F132*0.22</f>
        <v>61001.556000000011</v>
      </c>
      <c r="H132" s="136">
        <f>3871*(B$6+1)*12</f>
        <v>49703.64</v>
      </c>
      <c r="I132" s="136">
        <f t="shared" ref="I132:I182" si="109">700*12</f>
        <v>8400</v>
      </c>
      <c r="J132" s="143">
        <v>1926</v>
      </c>
      <c r="K132" s="136">
        <f>0*12</f>
        <v>0</v>
      </c>
      <c r="L132" s="136">
        <v>93</v>
      </c>
      <c r="M132" s="136">
        <f t="shared" ref="M132" si="110">(N132+I132+K132+F132)*0.01</f>
        <v>3087.8645000000006</v>
      </c>
      <c r="N132" s="136">
        <f>F132/12</f>
        <v>23106.650000000005</v>
      </c>
      <c r="O132" s="136"/>
      <c r="P132" s="136"/>
    </row>
    <row r="133" spans="1:16" x14ac:dyDescent="0.2">
      <c r="A133" s="134"/>
      <c r="B133" s="134"/>
      <c r="C133" s="134"/>
      <c r="D133" s="134"/>
      <c r="E133" s="136"/>
      <c r="F133" s="136"/>
      <c r="G133" s="136"/>
      <c r="H133" s="136"/>
      <c r="I133" s="136"/>
      <c r="J133" s="143"/>
      <c r="K133" s="136"/>
      <c r="L133" s="136"/>
      <c r="M133" s="136"/>
      <c r="N133" s="136"/>
      <c r="O133" s="136"/>
      <c r="P133" s="136"/>
    </row>
    <row r="134" spans="1:16" x14ac:dyDescent="0.2">
      <c r="A134" s="133" t="s">
        <v>567</v>
      </c>
      <c r="B134" s="134"/>
      <c r="C134" s="134"/>
      <c r="D134" s="134"/>
      <c r="E134" s="136"/>
      <c r="F134" s="136"/>
      <c r="G134" s="136"/>
      <c r="H134" s="136"/>
      <c r="I134" s="136"/>
      <c r="J134" s="143"/>
      <c r="K134" s="136"/>
      <c r="L134" s="136"/>
      <c r="M134" s="136"/>
      <c r="N134" s="136"/>
      <c r="O134" s="136"/>
      <c r="P134" s="136"/>
    </row>
    <row r="135" spans="1:16" x14ac:dyDescent="0.2">
      <c r="A135" s="134"/>
      <c r="B135" s="134"/>
      <c r="C135" s="134"/>
      <c r="D135" s="134"/>
      <c r="E135" s="136"/>
      <c r="F135" s="136"/>
      <c r="G135" s="136"/>
      <c r="H135" s="136"/>
      <c r="I135" s="136"/>
      <c r="J135" s="143"/>
      <c r="K135" s="136"/>
      <c r="L135" s="136"/>
      <c r="M135" s="136"/>
      <c r="N135" s="136"/>
      <c r="O135" s="136"/>
      <c r="P135" s="136"/>
    </row>
    <row r="136" spans="1:16" x14ac:dyDescent="0.2">
      <c r="A136" s="134" t="s">
        <v>668</v>
      </c>
      <c r="B136" s="134"/>
      <c r="C136" s="134" t="s">
        <v>294</v>
      </c>
      <c r="D136" s="134">
        <v>2</v>
      </c>
      <c r="E136" s="136">
        <f t="shared" ref="E136" si="111">SUM(F136:P136)</f>
        <v>1011804.6731000001</v>
      </c>
      <c r="F136" s="136">
        <f>47129*(B$5+1)*12</f>
        <v>605136.3600000001</v>
      </c>
      <c r="G136" s="136">
        <f>F136*0.22</f>
        <v>133129.99920000002</v>
      </c>
      <c r="H136" s="136">
        <f t="shared" ref="H136" si="112">3871*(B$6+1)*12</f>
        <v>49703.64</v>
      </c>
      <c r="I136" s="136">
        <f t="shared" ref="I136" si="113">700*12</f>
        <v>8400</v>
      </c>
      <c r="J136" s="143">
        <v>1926</v>
      </c>
      <c r="K136" s="136">
        <f t="shared" ref="K136" si="114">12900*12</f>
        <v>154800</v>
      </c>
      <c r="L136" s="136">
        <v>93</v>
      </c>
      <c r="M136" s="136">
        <f t="shared" ref="M136" si="115">(N136+I136+K136+F136)*0.01</f>
        <v>8187.6439000000018</v>
      </c>
      <c r="N136" s="136">
        <f>F136/12</f>
        <v>50428.030000000006</v>
      </c>
      <c r="O136" s="136"/>
      <c r="P136" s="136"/>
    </row>
    <row r="137" spans="1:16" x14ac:dyDescent="0.2">
      <c r="A137" s="134"/>
      <c r="B137" s="134"/>
      <c r="C137" s="134"/>
      <c r="D137" s="134"/>
      <c r="E137" s="136"/>
      <c r="F137" s="136"/>
      <c r="G137" s="136"/>
      <c r="H137" s="136"/>
      <c r="I137" s="136"/>
      <c r="J137" s="143"/>
      <c r="K137" s="136"/>
      <c r="L137" s="136"/>
      <c r="M137" s="136"/>
      <c r="N137" s="136"/>
      <c r="O137" s="136"/>
      <c r="P137" s="136"/>
    </row>
    <row r="138" spans="1:16" x14ac:dyDescent="0.2">
      <c r="A138" s="133" t="s">
        <v>564</v>
      </c>
      <c r="B138" s="134"/>
      <c r="C138" s="134"/>
      <c r="D138" s="134"/>
      <c r="E138" s="136"/>
      <c r="F138" s="136"/>
      <c r="G138" s="136"/>
      <c r="H138" s="136"/>
      <c r="I138" s="136"/>
      <c r="J138" s="143"/>
      <c r="K138" s="136"/>
      <c r="L138" s="136"/>
      <c r="M138" s="136"/>
      <c r="N138" s="136"/>
      <c r="O138" s="136"/>
      <c r="P138" s="136"/>
    </row>
    <row r="139" spans="1:16" x14ac:dyDescent="0.2">
      <c r="A139" s="133"/>
      <c r="B139" s="134"/>
      <c r="C139" s="134"/>
      <c r="D139" s="134"/>
      <c r="E139" s="136"/>
      <c r="F139" s="136"/>
      <c r="G139" s="136"/>
      <c r="H139" s="136"/>
      <c r="I139" s="136"/>
      <c r="J139" s="143"/>
      <c r="K139" s="136"/>
      <c r="L139" s="136"/>
      <c r="M139" s="136"/>
      <c r="N139" s="136"/>
      <c r="O139" s="136"/>
      <c r="P139" s="136"/>
    </row>
    <row r="140" spans="1:16" x14ac:dyDescent="0.2">
      <c r="A140" s="154" t="s">
        <v>730</v>
      </c>
      <c r="B140" s="145"/>
      <c r="C140" s="145" t="s">
        <v>34</v>
      </c>
      <c r="D140" s="145">
        <v>2</v>
      </c>
      <c r="E140" s="136"/>
      <c r="F140" s="136"/>
      <c r="G140" s="136"/>
      <c r="H140" s="136"/>
      <c r="I140" s="136"/>
      <c r="J140" s="143"/>
      <c r="K140" s="136"/>
      <c r="L140" s="136"/>
      <c r="M140" s="136"/>
      <c r="N140" s="136"/>
      <c r="O140" s="136"/>
      <c r="P140" s="136"/>
    </row>
    <row r="141" spans="1:16" x14ac:dyDescent="0.2">
      <c r="A141" s="145" t="s">
        <v>736</v>
      </c>
      <c r="B141" s="134"/>
      <c r="C141" s="145" t="s">
        <v>34</v>
      </c>
      <c r="D141" s="145">
        <v>3</v>
      </c>
      <c r="E141" s="136"/>
      <c r="F141" s="136"/>
      <c r="G141" s="136"/>
      <c r="H141" s="136"/>
      <c r="I141" s="136"/>
      <c r="J141" s="143"/>
      <c r="K141" s="136"/>
      <c r="L141" s="136"/>
      <c r="M141" s="136"/>
      <c r="N141" s="136"/>
      <c r="O141" s="136"/>
      <c r="P141" s="136"/>
    </row>
    <row r="142" spans="1:16" x14ac:dyDescent="0.2">
      <c r="A142" s="134" t="s">
        <v>437</v>
      </c>
      <c r="B142" s="134"/>
      <c r="C142" s="134" t="s">
        <v>268</v>
      </c>
      <c r="D142" s="134">
        <v>5</v>
      </c>
      <c r="E142" s="136">
        <f t="shared" ref="E142:E143" si="116">SUM(F142:P142)</f>
        <v>718949.3861</v>
      </c>
      <c r="F142" s="136">
        <f>31799*(B$5+1)*12</f>
        <v>408299.16000000003</v>
      </c>
      <c r="G142" s="136">
        <f t="shared" ref="G142:G143" si="117">F142*0.22</f>
        <v>89825.815200000012</v>
      </c>
      <c r="H142" s="136">
        <f t="shared" ref="H142:H143" si="118">3871*(B$6+1)*12</f>
        <v>49703.64</v>
      </c>
      <c r="I142" s="136">
        <f t="shared" ref="I142:I143" si="119">700*12</f>
        <v>8400</v>
      </c>
      <c r="J142" s="143">
        <v>1926</v>
      </c>
      <c r="K142" s="136">
        <f t="shared" ref="K142" si="120">10080*12</f>
        <v>120960</v>
      </c>
      <c r="L142" s="136">
        <v>93</v>
      </c>
      <c r="M142" s="136">
        <f t="shared" ref="M142:M143" si="121">(N142+I142+K142+F142)*0.01</f>
        <v>5716.8409000000011</v>
      </c>
      <c r="N142" s="136">
        <f t="shared" ref="N142:N143" si="122">F142/12</f>
        <v>34024.93</v>
      </c>
      <c r="O142" s="136"/>
      <c r="P142" s="136"/>
    </row>
    <row r="143" spans="1:16" x14ac:dyDescent="0.2">
      <c r="A143" s="134" t="s">
        <v>23</v>
      </c>
      <c r="B143" s="134"/>
      <c r="C143" s="134" t="s">
        <v>37</v>
      </c>
      <c r="D143" s="134">
        <v>6</v>
      </c>
      <c r="E143" s="136">
        <f t="shared" si="116"/>
        <v>534329.48220000009</v>
      </c>
      <c r="F143" s="136">
        <f>28098*(B$5+1)*12</f>
        <v>360778.32</v>
      </c>
      <c r="G143" s="136">
        <f t="shared" si="117"/>
        <v>79371.2304</v>
      </c>
      <c r="H143" s="136">
        <f t="shared" si="118"/>
        <v>49703.64</v>
      </c>
      <c r="I143" s="136">
        <f t="shared" si="119"/>
        <v>8400</v>
      </c>
      <c r="J143" s="143">
        <v>1926</v>
      </c>
      <c r="K143" s="136">
        <f>0*12</f>
        <v>0</v>
      </c>
      <c r="L143" s="136">
        <v>93</v>
      </c>
      <c r="M143" s="136">
        <f t="shared" si="121"/>
        <v>3992.4317999999998</v>
      </c>
      <c r="N143" s="136">
        <f t="shared" si="122"/>
        <v>30064.86</v>
      </c>
      <c r="O143" s="136"/>
      <c r="P143" s="136"/>
    </row>
    <row r="144" spans="1:16" x14ac:dyDescent="0.2">
      <c r="A144" s="134" t="s">
        <v>197</v>
      </c>
      <c r="B144" s="134"/>
      <c r="C144" s="134" t="s">
        <v>351</v>
      </c>
      <c r="D144" s="134">
        <v>6</v>
      </c>
      <c r="E144" s="136">
        <f t="shared" ref="E144:E192" si="123">SUM(F144:P144)</f>
        <v>534329.48220000009</v>
      </c>
      <c r="F144" s="136">
        <f>28098*(B$5+1)*12</f>
        <v>360778.32</v>
      </c>
      <c r="G144" s="136">
        <f t="shared" ref="G144" si="124">F144*0.22</f>
        <v>79371.2304</v>
      </c>
      <c r="H144" s="136">
        <f>3871*(B$6+1)*12</f>
        <v>49703.64</v>
      </c>
      <c r="I144" s="136">
        <f t="shared" si="109"/>
        <v>8400</v>
      </c>
      <c r="J144" s="143">
        <v>1926</v>
      </c>
      <c r="K144" s="136">
        <f>0*12</f>
        <v>0</v>
      </c>
      <c r="L144" s="136">
        <v>93</v>
      </c>
      <c r="M144" s="136">
        <f t="shared" ref="M144" si="125">(N144+I144+K144+F144)*0.01</f>
        <v>3992.4317999999998</v>
      </c>
      <c r="N144" s="136">
        <f t="shared" ref="N144" si="126">F144/12</f>
        <v>30064.86</v>
      </c>
      <c r="O144" s="136"/>
      <c r="P144" s="136"/>
    </row>
    <row r="145" spans="1:16" x14ac:dyDescent="0.2">
      <c r="A145" s="134" t="s">
        <v>438</v>
      </c>
      <c r="B145" s="162"/>
      <c r="C145" s="134" t="s">
        <v>110</v>
      </c>
      <c r="D145" s="134">
        <v>8</v>
      </c>
      <c r="E145" s="136">
        <f t="shared" ref="E145" si="127">SUM(F145:P145)</f>
        <v>424598.51050000009</v>
      </c>
      <c r="F145" s="136">
        <f>21595*(B$5+1)*12</f>
        <v>277279.80000000005</v>
      </c>
      <c r="G145" s="136">
        <f t="shared" ref="G145:G148" si="128">F145*0.22</f>
        <v>61001.556000000011</v>
      </c>
      <c r="H145" s="136">
        <f t="shared" ref="H145:H160" si="129">3871*(B$6+1)*12</f>
        <v>49703.64</v>
      </c>
      <c r="I145" s="136">
        <f t="shared" si="109"/>
        <v>8400</v>
      </c>
      <c r="J145" s="143">
        <v>1926</v>
      </c>
      <c r="K145" s="136">
        <f>0*12</f>
        <v>0</v>
      </c>
      <c r="L145" s="136">
        <v>93</v>
      </c>
      <c r="M145" s="136">
        <f t="shared" ref="M145:M148" si="130">(N145+I145+K145+F145)*0.01</f>
        <v>3087.8645000000006</v>
      </c>
      <c r="N145" s="136">
        <f>F145/12</f>
        <v>23106.650000000005</v>
      </c>
      <c r="O145" s="136"/>
      <c r="P145" s="136"/>
    </row>
    <row r="146" spans="1:16" x14ac:dyDescent="0.2">
      <c r="A146" s="134" t="s">
        <v>578</v>
      </c>
      <c r="B146" s="162"/>
      <c r="C146" s="134" t="s">
        <v>451</v>
      </c>
      <c r="D146" s="134">
        <v>7</v>
      </c>
      <c r="E146" s="136">
        <f t="shared" ref="E146" si="131">SUM(F146:P146)</f>
        <v>470090.54490000004</v>
      </c>
      <c r="F146" s="136">
        <f>24291*(B$5+1)*12</f>
        <v>311896.44000000006</v>
      </c>
      <c r="G146" s="136">
        <f t="shared" si="128"/>
        <v>68617.216800000009</v>
      </c>
      <c r="H146" s="136">
        <f t="shared" si="129"/>
        <v>49703.64</v>
      </c>
      <c r="I146" s="136">
        <f t="shared" si="109"/>
        <v>8400</v>
      </c>
      <c r="J146" s="143">
        <v>1926</v>
      </c>
      <c r="K146" s="136">
        <f t="shared" ref="K146" si="132">0*12</f>
        <v>0</v>
      </c>
      <c r="L146" s="136">
        <v>93</v>
      </c>
      <c r="M146" s="136">
        <f t="shared" si="130"/>
        <v>3462.8781000000008</v>
      </c>
      <c r="N146" s="136">
        <f t="shared" ref="N146:N148" si="133">F146/12</f>
        <v>25991.370000000006</v>
      </c>
      <c r="O146" s="136"/>
      <c r="P146" s="136"/>
    </row>
    <row r="147" spans="1:16" x14ac:dyDescent="0.2">
      <c r="A147" s="134" t="s">
        <v>43</v>
      </c>
      <c r="B147" s="134"/>
      <c r="C147" s="134" t="s">
        <v>34</v>
      </c>
      <c r="D147" s="134">
        <v>8</v>
      </c>
      <c r="E147" s="136">
        <f t="shared" ref="E147:E152" si="134">SUM(F147:P147)</f>
        <v>403977.19854166667</v>
      </c>
      <c r="F147" s="136">
        <f>244475*(B$5+1)</f>
        <v>261588.25000000003</v>
      </c>
      <c r="G147" s="136">
        <f t="shared" si="128"/>
        <v>57549.415000000008</v>
      </c>
      <c r="H147" s="136">
        <f t="shared" si="129"/>
        <v>49703.64</v>
      </c>
      <c r="I147" s="136">
        <f t="shared" si="109"/>
        <v>8400</v>
      </c>
      <c r="J147" s="143">
        <v>1926</v>
      </c>
      <c r="K147" s="136">
        <f>0*12</f>
        <v>0</v>
      </c>
      <c r="L147" s="136">
        <v>93</v>
      </c>
      <c r="M147" s="136">
        <f t="shared" si="130"/>
        <v>2917.8727083333338</v>
      </c>
      <c r="N147" s="136">
        <f t="shared" si="133"/>
        <v>21799.020833333336</v>
      </c>
      <c r="O147" s="136"/>
      <c r="P147" s="136"/>
    </row>
    <row r="148" spans="1:16" x14ac:dyDescent="0.2">
      <c r="A148" s="134" t="s">
        <v>22</v>
      </c>
      <c r="B148" s="155"/>
      <c r="C148" s="134" t="s">
        <v>353</v>
      </c>
      <c r="D148" s="134">
        <v>9</v>
      </c>
      <c r="E148" s="136">
        <f t="shared" si="134"/>
        <v>382059.40860000002</v>
      </c>
      <c r="F148" s="136">
        <f>19074*(B$5+1)*12</f>
        <v>244910.16</v>
      </c>
      <c r="G148" s="136">
        <f t="shared" si="128"/>
        <v>53880.235200000003</v>
      </c>
      <c r="H148" s="136">
        <f t="shared" si="129"/>
        <v>49703.64</v>
      </c>
      <c r="I148" s="136">
        <f t="shared" si="109"/>
        <v>8400</v>
      </c>
      <c r="J148" s="143">
        <v>1926</v>
      </c>
      <c r="K148" s="136">
        <f t="shared" ref="K148" si="135">0*12</f>
        <v>0</v>
      </c>
      <c r="L148" s="136">
        <v>93</v>
      </c>
      <c r="M148" s="136">
        <f t="shared" si="130"/>
        <v>2737.1934000000001</v>
      </c>
      <c r="N148" s="136">
        <f t="shared" si="133"/>
        <v>20409.18</v>
      </c>
      <c r="O148" s="136"/>
      <c r="P148" s="136"/>
    </row>
    <row r="149" spans="1:16" x14ac:dyDescent="0.2">
      <c r="A149" s="134" t="s">
        <v>439</v>
      </c>
      <c r="B149" s="162"/>
      <c r="C149" s="134" t="s">
        <v>47</v>
      </c>
      <c r="D149" s="134">
        <v>9</v>
      </c>
      <c r="E149" s="136">
        <f t="shared" si="134"/>
        <v>382059.40860000002</v>
      </c>
      <c r="F149" s="136">
        <f>19074*(B$5+1)*12</f>
        <v>244910.16</v>
      </c>
      <c r="G149" s="136">
        <f t="shared" ref="G149:G152" si="136">F149*0.22</f>
        <v>53880.235200000003</v>
      </c>
      <c r="H149" s="136">
        <f t="shared" si="129"/>
        <v>49703.64</v>
      </c>
      <c r="I149" s="136">
        <f t="shared" si="109"/>
        <v>8400</v>
      </c>
      <c r="J149" s="143">
        <v>1926</v>
      </c>
      <c r="K149" s="136">
        <f>0*12</f>
        <v>0</v>
      </c>
      <c r="L149" s="136">
        <v>93</v>
      </c>
      <c r="M149" s="136">
        <f t="shared" ref="M149" si="137">(N149+I149+K149+F149)*0.01</f>
        <v>2737.1934000000001</v>
      </c>
      <c r="N149" s="136">
        <f>F149/12</f>
        <v>20409.18</v>
      </c>
      <c r="O149" s="136"/>
      <c r="P149" s="136"/>
    </row>
    <row r="150" spans="1:16" x14ac:dyDescent="0.2">
      <c r="A150" s="134" t="s">
        <v>743</v>
      </c>
      <c r="B150" s="134"/>
      <c r="C150" s="134" t="s">
        <v>334</v>
      </c>
      <c r="D150" s="134">
        <v>9</v>
      </c>
      <c r="E150" s="136">
        <f t="shared" si="134"/>
        <v>382059.40860000002</v>
      </c>
      <c r="F150" s="136">
        <f>19074*(B$5+1)*12</f>
        <v>244910.16</v>
      </c>
      <c r="G150" s="136">
        <f t="shared" si="136"/>
        <v>53880.235200000003</v>
      </c>
      <c r="H150" s="136">
        <f t="shared" si="129"/>
        <v>49703.64</v>
      </c>
      <c r="I150" s="136">
        <f t="shared" si="109"/>
        <v>8400</v>
      </c>
      <c r="J150" s="143">
        <v>1926</v>
      </c>
      <c r="K150" s="136"/>
      <c r="L150" s="136">
        <v>93</v>
      </c>
      <c r="M150" s="136">
        <f>(N150+I150+K150+F150)*0.01</f>
        <v>2737.1934000000001</v>
      </c>
      <c r="N150" s="136">
        <f t="shared" ref="N150:N152" si="138">F150/12</f>
        <v>20409.18</v>
      </c>
      <c r="O150" s="163"/>
      <c r="P150" s="163"/>
    </row>
    <row r="151" spans="1:16" x14ac:dyDescent="0.2">
      <c r="A151" s="134" t="s">
        <v>51</v>
      </c>
      <c r="B151" s="134"/>
      <c r="C151" s="134" t="s">
        <v>484</v>
      </c>
      <c r="D151" s="134">
        <v>8</v>
      </c>
      <c r="E151" s="136">
        <f t="shared" ref="E151" si="139">SUM(F151:P151)</f>
        <v>424598.51050000009</v>
      </c>
      <c r="F151" s="136">
        <f>21595*(B$5+1)*12</f>
        <v>277279.80000000005</v>
      </c>
      <c r="G151" s="136">
        <f t="shared" si="136"/>
        <v>61001.556000000011</v>
      </c>
      <c r="H151" s="136">
        <f t="shared" ref="H151" si="140">3871*(B$6+1)*12</f>
        <v>49703.64</v>
      </c>
      <c r="I151" s="136">
        <f t="shared" si="109"/>
        <v>8400</v>
      </c>
      <c r="J151" s="143">
        <v>1926</v>
      </c>
      <c r="K151" s="136">
        <f t="shared" ref="K151" si="141">0*12</f>
        <v>0</v>
      </c>
      <c r="L151" s="136">
        <v>93</v>
      </c>
      <c r="M151" s="136">
        <f t="shared" ref="M151" si="142">(N151+I151+K151+F151)*0.01</f>
        <v>3087.8645000000006</v>
      </c>
      <c r="N151" s="136">
        <f t="shared" si="138"/>
        <v>23106.650000000005</v>
      </c>
      <c r="O151" s="136"/>
      <c r="P151" s="136"/>
    </row>
    <row r="152" spans="1:16" x14ac:dyDescent="0.2">
      <c r="A152" s="134" t="s">
        <v>51</v>
      </c>
      <c r="B152" s="134"/>
      <c r="C152" s="134" t="s">
        <v>523</v>
      </c>
      <c r="D152" s="134">
        <v>9</v>
      </c>
      <c r="E152" s="136">
        <f t="shared" si="134"/>
        <v>382059.40860000002</v>
      </c>
      <c r="F152" s="136">
        <f>19074*(B$5+1)*12</f>
        <v>244910.16</v>
      </c>
      <c r="G152" s="136">
        <f t="shared" si="136"/>
        <v>53880.235200000003</v>
      </c>
      <c r="H152" s="136">
        <f t="shared" si="129"/>
        <v>49703.64</v>
      </c>
      <c r="I152" s="136">
        <f t="shared" si="109"/>
        <v>8400</v>
      </c>
      <c r="J152" s="143">
        <v>1926</v>
      </c>
      <c r="K152" s="136"/>
      <c r="L152" s="136">
        <v>93</v>
      </c>
      <c r="M152" s="136">
        <f>(N152+I152+K152+F152)*0.01</f>
        <v>2737.1934000000001</v>
      </c>
      <c r="N152" s="136">
        <f t="shared" si="138"/>
        <v>20409.18</v>
      </c>
      <c r="O152" s="163"/>
      <c r="P152" s="163"/>
    </row>
    <row r="153" spans="1:16" x14ac:dyDescent="0.2">
      <c r="A153" s="134" t="s">
        <v>51</v>
      </c>
      <c r="B153" s="134"/>
      <c r="C153" s="134" t="s">
        <v>415</v>
      </c>
      <c r="D153" s="134">
        <v>9</v>
      </c>
      <c r="E153" s="136">
        <f>SUM(F153:P153)</f>
        <v>382059.40860000002</v>
      </c>
      <c r="F153" s="136">
        <f>19074*(B$5+1)*12</f>
        <v>244910.16</v>
      </c>
      <c r="G153" s="136">
        <f>F153*0.22</f>
        <v>53880.235200000003</v>
      </c>
      <c r="H153" s="136">
        <f t="shared" si="129"/>
        <v>49703.64</v>
      </c>
      <c r="I153" s="136">
        <f t="shared" si="109"/>
        <v>8400</v>
      </c>
      <c r="J153" s="143">
        <v>1926</v>
      </c>
      <c r="K153" s="136">
        <f>0*12</f>
        <v>0</v>
      </c>
      <c r="L153" s="136">
        <v>93</v>
      </c>
      <c r="M153" s="136">
        <f>(N153+I153+K153+F153)*0.01</f>
        <v>2737.1934000000001</v>
      </c>
      <c r="N153" s="136">
        <f>F153/12</f>
        <v>20409.18</v>
      </c>
      <c r="O153" s="136"/>
      <c r="P153" s="136"/>
    </row>
    <row r="154" spans="1:16" x14ac:dyDescent="0.2">
      <c r="A154" s="134" t="s">
        <v>304</v>
      </c>
      <c r="B154" s="155"/>
      <c r="C154" s="134" t="s">
        <v>61</v>
      </c>
      <c r="D154" s="134">
        <v>9</v>
      </c>
      <c r="E154" s="136">
        <f t="shared" ref="E154" si="143">SUM(F154:P154)</f>
        <v>476716.60860000004</v>
      </c>
      <c r="F154" s="136">
        <f>19074*(B$5+1)*12</f>
        <v>244910.16</v>
      </c>
      <c r="G154" s="136">
        <f t="shared" ref="G154:G157" si="144">F154*0.22</f>
        <v>53880.235200000003</v>
      </c>
      <c r="H154" s="136">
        <f t="shared" si="129"/>
        <v>49703.64</v>
      </c>
      <c r="I154" s="136">
        <f t="shared" si="109"/>
        <v>8400</v>
      </c>
      <c r="J154" s="143">
        <v>1926</v>
      </c>
      <c r="K154" s="136">
        <f>7810*12</f>
        <v>93720</v>
      </c>
      <c r="L154" s="136">
        <v>93</v>
      </c>
      <c r="M154" s="136">
        <f>(N154+I154+K154+F154)*0.01</f>
        <v>3674.3933999999999</v>
      </c>
      <c r="N154" s="136">
        <f t="shared" ref="N154:N157" si="145">F154/12</f>
        <v>20409.18</v>
      </c>
      <c r="O154" s="136"/>
      <c r="P154" s="136"/>
    </row>
    <row r="155" spans="1:16" x14ac:dyDescent="0.2">
      <c r="A155" s="134" t="s">
        <v>336</v>
      </c>
      <c r="B155" s="155"/>
      <c r="C155" s="134" t="s">
        <v>534</v>
      </c>
      <c r="D155" s="134">
        <v>9</v>
      </c>
      <c r="E155" s="136">
        <f t="shared" ref="E155" si="146">SUM(F155:P155)</f>
        <v>337849.79060000007</v>
      </c>
      <c r="F155" s="136">
        <f>16454*(B$5+1)*12</f>
        <v>211269.36000000004</v>
      </c>
      <c r="G155" s="136">
        <f t="shared" si="144"/>
        <v>46479.259200000008</v>
      </c>
      <c r="H155" s="136">
        <f t="shared" si="129"/>
        <v>49703.64</v>
      </c>
      <c r="I155" s="136">
        <f t="shared" si="109"/>
        <v>8400</v>
      </c>
      <c r="J155" s="143">
        <v>1926</v>
      </c>
      <c r="K155" s="136"/>
      <c r="L155" s="136">
        <v>93</v>
      </c>
      <c r="M155" s="136">
        <f>(N155+I155+K155+F155)*0.01</f>
        <v>2372.7514000000006</v>
      </c>
      <c r="N155" s="136">
        <f t="shared" si="145"/>
        <v>17605.780000000002</v>
      </c>
      <c r="O155" s="136"/>
      <c r="P155" s="136"/>
    </row>
    <row r="156" spans="1:16" x14ac:dyDescent="0.2">
      <c r="A156" s="145" t="s">
        <v>682</v>
      </c>
      <c r="B156" s="156"/>
      <c r="C156" s="145" t="s">
        <v>34</v>
      </c>
      <c r="D156" s="145">
        <v>8</v>
      </c>
      <c r="E156" s="136">
        <f t="shared" ref="E156:E157" si="147">SUM(F156:P156)</f>
        <v>424598.51050000009</v>
      </c>
      <c r="F156" s="136">
        <f t="shared" ref="F156:F157" si="148">21595*(B$5+1)*12</f>
        <v>277279.80000000005</v>
      </c>
      <c r="G156" s="136">
        <f t="shared" si="144"/>
        <v>61001.556000000011</v>
      </c>
      <c r="H156" s="136">
        <f t="shared" ref="H156:H157" si="149">3871*(B$6+1)*12</f>
        <v>49703.64</v>
      </c>
      <c r="I156" s="136">
        <f t="shared" si="109"/>
        <v>8400</v>
      </c>
      <c r="J156" s="143">
        <v>1926</v>
      </c>
      <c r="K156" s="136">
        <f t="shared" ref="K156:K157" si="150">0*12</f>
        <v>0</v>
      </c>
      <c r="L156" s="136">
        <v>93</v>
      </c>
      <c r="M156" s="136">
        <f t="shared" ref="M156:M157" si="151">(N156+I156+K156+F156)*0.01</f>
        <v>3087.8645000000006</v>
      </c>
      <c r="N156" s="136">
        <f t="shared" si="145"/>
        <v>23106.650000000005</v>
      </c>
      <c r="O156" s="136"/>
      <c r="P156" s="136"/>
    </row>
    <row r="157" spans="1:16" x14ac:dyDescent="0.2">
      <c r="A157" s="145" t="s">
        <v>682</v>
      </c>
      <c r="B157" s="156"/>
      <c r="C157" s="145" t="s">
        <v>34</v>
      </c>
      <c r="D157" s="145">
        <v>8</v>
      </c>
      <c r="E157" s="136">
        <f t="shared" si="147"/>
        <v>424598.51050000009</v>
      </c>
      <c r="F157" s="136">
        <f t="shared" si="148"/>
        <v>277279.80000000005</v>
      </c>
      <c r="G157" s="136">
        <f t="shared" si="144"/>
        <v>61001.556000000011</v>
      </c>
      <c r="H157" s="136">
        <f t="shared" si="149"/>
        <v>49703.64</v>
      </c>
      <c r="I157" s="136">
        <f t="shared" si="109"/>
        <v>8400</v>
      </c>
      <c r="J157" s="143">
        <v>1926</v>
      </c>
      <c r="K157" s="136">
        <f t="shared" si="150"/>
        <v>0</v>
      </c>
      <c r="L157" s="136">
        <v>93</v>
      </c>
      <c r="M157" s="136">
        <f t="shared" si="151"/>
        <v>3087.8645000000006</v>
      </c>
      <c r="N157" s="136">
        <f t="shared" si="145"/>
        <v>23106.650000000005</v>
      </c>
      <c r="O157" s="136"/>
      <c r="P157" s="136"/>
    </row>
    <row r="158" spans="1:16" x14ac:dyDescent="0.2">
      <c r="A158" s="134" t="s">
        <v>393</v>
      </c>
      <c r="B158" s="161"/>
      <c r="C158" s="134" t="s">
        <v>400</v>
      </c>
      <c r="D158" s="134">
        <v>11</v>
      </c>
      <c r="E158" s="136">
        <f t="shared" ref="E158:E160" si="152">SUM(F158:P158)</f>
        <v>287228.09060000005</v>
      </c>
      <c r="F158" s="136">
        <f>13454*(B$5+1)*12</f>
        <v>172749.36000000002</v>
      </c>
      <c r="G158" s="136">
        <f t="shared" ref="G158:G160" si="153">F158*0.22</f>
        <v>38004.859200000006</v>
      </c>
      <c r="H158" s="136">
        <f t="shared" si="129"/>
        <v>49703.64</v>
      </c>
      <c r="I158" s="136">
        <f t="shared" si="109"/>
        <v>8400</v>
      </c>
      <c r="J158" s="143">
        <v>1926</v>
      </c>
      <c r="K158" s="136">
        <f t="shared" ref="K158" si="154">0*12</f>
        <v>0</v>
      </c>
      <c r="L158" s="136">
        <v>93</v>
      </c>
      <c r="M158" s="136">
        <f t="shared" ref="M158:M160" si="155">(N158+I158+K158+F158)*0.01</f>
        <v>1955.4514000000001</v>
      </c>
      <c r="N158" s="136">
        <f t="shared" ref="N158:N160" si="156">F158/12</f>
        <v>14395.78</v>
      </c>
      <c r="O158" s="136"/>
      <c r="P158" s="136"/>
    </row>
    <row r="159" spans="1:16" x14ac:dyDescent="0.2">
      <c r="A159" s="134" t="s">
        <v>232</v>
      </c>
      <c r="B159" s="155"/>
      <c r="C159" s="134" t="s">
        <v>295</v>
      </c>
      <c r="D159" s="134">
        <v>12</v>
      </c>
      <c r="E159" s="136">
        <f t="shared" si="152"/>
        <v>262170.34909999999</v>
      </c>
      <c r="F159" s="136">
        <f>11969*(B$5+1)*12</f>
        <v>153681.96</v>
      </c>
      <c r="G159" s="136">
        <f t="shared" si="153"/>
        <v>33810.031199999998</v>
      </c>
      <c r="H159" s="136">
        <f t="shared" si="129"/>
        <v>49703.64</v>
      </c>
      <c r="I159" s="136">
        <f t="shared" si="109"/>
        <v>8400</v>
      </c>
      <c r="J159" s="143">
        <v>1926</v>
      </c>
      <c r="K159" s="136">
        <f>0*12</f>
        <v>0</v>
      </c>
      <c r="L159" s="136">
        <v>93</v>
      </c>
      <c r="M159" s="136">
        <f t="shared" si="155"/>
        <v>1748.8878999999997</v>
      </c>
      <c r="N159" s="136">
        <f t="shared" si="156"/>
        <v>12806.83</v>
      </c>
      <c r="O159" s="136"/>
      <c r="P159" s="136"/>
    </row>
    <row r="160" spans="1:16" x14ac:dyDescent="0.2">
      <c r="A160" s="134" t="s">
        <v>232</v>
      </c>
      <c r="B160" s="134"/>
      <c r="C160" s="134" t="s">
        <v>459</v>
      </c>
      <c r="D160" s="134">
        <v>12</v>
      </c>
      <c r="E160" s="136">
        <f t="shared" si="152"/>
        <v>247928.77749999997</v>
      </c>
      <c r="F160" s="136">
        <f>11125*(B$5+1)*12</f>
        <v>142845</v>
      </c>
      <c r="G160" s="136">
        <f t="shared" si="153"/>
        <v>31425.9</v>
      </c>
      <c r="H160" s="136">
        <f t="shared" si="129"/>
        <v>49703.64</v>
      </c>
      <c r="I160" s="136">
        <f t="shared" si="109"/>
        <v>8400</v>
      </c>
      <c r="J160" s="143">
        <v>1926</v>
      </c>
      <c r="K160" s="136">
        <v>0</v>
      </c>
      <c r="L160" s="136">
        <v>93</v>
      </c>
      <c r="M160" s="136">
        <f t="shared" si="155"/>
        <v>1631.4875</v>
      </c>
      <c r="N160" s="136">
        <f t="shared" si="156"/>
        <v>11903.75</v>
      </c>
      <c r="O160" s="136"/>
      <c r="P160" s="136"/>
    </row>
    <row r="161" spans="1:16" x14ac:dyDescent="0.2">
      <c r="A161" s="134" t="s">
        <v>579</v>
      </c>
      <c r="B161" s="134"/>
      <c r="C161" s="134" t="s">
        <v>293</v>
      </c>
      <c r="D161" s="134">
        <v>10</v>
      </c>
      <c r="E161" s="136">
        <f>SUM(F161:P161)</f>
        <v>325244.98730000004</v>
      </c>
      <c r="F161" s="136">
        <f>15707*(B$5+1)*12</f>
        <v>201677.88</v>
      </c>
      <c r="G161" s="136">
        <f>F161*0.22</f>
        <v>44369.133600000001</v>
      </c>
      <c r="H161" s="136">
        <f t="shared" ref="H161:H182" si="157">3871*(B$6+1)*12</f>
        <v>49703.64</v>
      </c>
      <c r="I161" s="136">
        <f t="shared" si="109"/>
        <v>8400</v>
      </c>
      <c r="J161" s="143">
        <v>1926</v>
      </c>
      <c r="K161" s="136">
        <f t="shared" ref="K161:K432" si="158">0*12</f>
        <v>0</v>
      </c>
      <c r="L161" s="136">
        <v>93</v>
      </c>
      <c r="M161" s="136">
        <f>(N161+I161+K161+F161)*0.01</f>
        <v>2268.8436999999999</v>
      </c>
      <c r="N161" s="136">
        <f t="shared" ref="N161" si="159">F161/12</f>
        <v>16806.490000000002</v>
      </c>
      <c r="O161" s="136"/>
      <c r="P161" s="136"/>
    </row>
    <row r="162" spans="1:16" x14ac:dyDescent="0.2">
      <c r="A162" s="134"/>
      <c r="B162" s="161"/>
      <c r="C162" s="134"/>
      <c r="D162" s="134"/>
      <c r="E162" s="136"/>
      <c r="F162" s="136"/>
      <c r="G162" s="136"/>
      <c r="H162" s="136"/>
      <c r="I162" s="136"/>
      <c r="J162" s="143"/>
      <c r="K162" s="136"/>
      <c r="L162" s="136"/>
      <c r="M162" s="136"/>
      <c r="N162" s="136"/>
      <c r="O162" s="136"/>
      <c r="P162" s="136"/>
    </row>
    <row r="163" spans="1:16" x14ac:dyDescent="0.2">
      <c r="A163" s="133" t="s">
        <v>565</v>
      </c>
      <c r="B163" s="161"/>
      <c r="C163" s="134"/>
      <c r="D163" s="134"/>
      <c r="E163" s="136"/>
      <c r="F163" s="136"/>
      <c r="G163" s="136"/>
      <c r="H163" s="136"/>
      <c r="I163" s="136"/>
      <c r="J163" s="143"/>
      <c r="K163" s="136"/>
      <c r="L163" s="136"/>
      <c r="M163" s="136"/>
      <c r="N163" s="136"/>
      <c r="O163" s="136"/>
      <c r="P163" s="136"/>
    </row>
    <row r="164" spans="1:16" x14ac:dyDescent="0.2">
      <c r="A164" s="133"/>
      <c r="B164" s="161"/>
      <c r="C164" s="134"/>
      <c r="D164" s="134"/>
      <c r="E164" s="136"/>
      <c r="F164" s="136"/>
      <c r="G164" s="136"/>
      <c r="H164" s="136"/>
      <c r="I164" s="136"/>
      <c r="J164" s="143"/>
      <c r="K164" s="136"/>
      <c r="L164" s="136"/>
      <c r="M164" s="136"/>
      <c r="N164" s="136"/>
      <c r="O164" s="136"/>
      <c r="P164" s="136"/>
    </row>
    <row r="165" spans="1:16" x14ac:dyDescent="0.2">
      <c r="A165" s="154" t="s">
        <v>731</v>
      </c>
      <c r="B165" s="145"/>
      <c r="C165" s="145" t="s">
        <v>34</v>
      </c>
      <c r="D165" s="145">
        <v>2</v>
      </c>
      <c r="E165" s="136"/>
      <c r="F165" s="136"/>
      <c r="G165" s="136"/>
      <c r="H165" s="136"/>
      <c r="I165" s="136"/>
      <c r="J165" s="143"/>
      <c r="K165" s="136"/>
      <c r="L165" s="136"/>
      <c r="M165" s="136"/>
      <c r="N165" s="136"/>
      <c r="O165" s="136"/>
      <c r="P165" s="136"/>
    </row>
    <row r="166" spans="1:16" x14ac:dyDescent="0.2">
      <c r="A166" s="134" t="s">
        <v>735</v>
      </c>
      <c r="B166" s="134"/>
      <c r="C166" s="134" t="s">
        <v>350</v>
      </c>
      <c r="D166" s="134">
        <v>3</v>
      </c>
      <c r="E166" s="136">
        <f t="shared" ref="E166:E170" si="160">SUM(F166:P166)</f>
        <v>912075.38430000003</v>
      </c>
      <c r="F166" s="136">
        <f>41937*(B$5+1)*12</f>
        <v>538471.08000000007</v>
      </c>
      <c r="G166" s="136">
        <f>F166*0.22</f>
        <v>118463.63760000002</v>
      </c>
      <c r="H166" s="136">
        <f t="shared" ref="H166:H170" si="161">3871*(B$6+1)*12</f>
        <v>49703.64</v>
      </c>
      <c r="I166" s="136">
        <f t="shared" si="109"/>
        <v>8400</v>
      </c>
      <c r="J166" s="143">
        <v>1926</v>
      </c>
      <c r="K166" s="136">
        <f t="shared" ref="K166" si="162">11900*12</f>
        <v>142800</v>
      </c>
      <c r="L166" s="136">
        <v>93</v>
      </c>
      <c r="M166" s="136">
        <f t="shared" ref="M166:M170" si="163">(N166+I166+K166+F166)*0.01</f>
        <v>7345.4367000000002</v>
      </c>
      <c r="N166" s="136">
        <f>F166/12</f>
        <v>44872.590000000004</v>
      </c>
      <c r="O166" s="136"/>
      <c r="P166" s="136"/>
    </row>
    <row r="167" spans="1:16" x14ac:dyDescent="0.2">
      <c r="A167" s="134" t="s">
        <v>57</v>
      </c>
      <c r="B167" s="134"/>
      <c r="C167" s="134" t="s">
        <v>60</v>
      </c>
      <c r="D167" s="134">
        <v>4</v>
      </c>
      <c r="E167" s="136">
        <f t="shared" si="160"/>
        <v>820344.6512000002</v>
      </c>
      <c r="F167" s="136">
        <f>37808*(B$5+1)*12</f>
        <v>485454.72000000009</v>
      </c>
      <c r="G167" s="136">
        <f>F167*0.22</f>
        <v>106800.03840000002</v>
      </c>
      <c r="H167" s="136">
        <f t="shared" si="161"/>
        <v>49703.64</v>
      </c>
      <c r="I167" s="136">
        <f t="shared" si="109"/>
        <v>8400</v>
      </c>
      <c r="J167" s="143">
        <v>1926</v>
      </c>
      <c r="K167" s="136">
        <f t="shared" ref="K167" si="164">10080*12</f>
        <v>120960</v>
      </c>
      <c r="L167" s="136">
        <v>93</v>
      </c>
      <c r="M167" s="136">
        <f t="shared" si="163"/>
        <v>6552.6928000000007</v>
      </c>
      <c r="N167" s="136">
        <f t="shared" ref="N167:N169" si="165">F167/12</f>
        <v>40454.560000000005</v>
      </c>
      <c r="O167" s="136"/>
      <c r="P167" s="164"/>
    </row>
    <row r="168" spans="1:16" x14ac:dyDescent="0.2">
      <c r="A168" s="134" t="s">
        <v>67</v>
      </c>
      <c r="B168" s="134"/>
      <c r="C168" s="134" t="s">
        <v>543</v>
      </c>
      <c r="D168" s="134">
        <v>6</v>
      </c>
      <c r="E168" s="136">
        <f t="shared" si="160"/>
        <v>656499.08219999995</v>
      </c>
      <c r="F168" s="136">
        <f>28098*(B$5+1)*12</f>
        <v>360778.32</v>
      </c>
      <c r="G168" s="136">
        <f t="shared" ref="G168:G169" si="166">F168*0.22</f>
        <v>79371.2304</v>
      </c>
      <c r="H168" s="136">
        <f t="shared" si="161"/>
        <v>49703.64</v>
      </c>
      <c r="I168" s="136">
        <f t="shared" si="109"/>
        <v>8400</v>
      </c>
      <c r="J168" s="143">
        <v>1926</v>
      </c>
      <c r="K168" s="136">
        <f>10080*12</f>
        <v>120960</v>
      </c>
      <c r="L168" s="136">
        <v>93</v>
      </c>
      <c r="M168" s="136">
        <f t="shared" si="163"/>
        <v>5202.0317999999997</v>
      </c>
      <c r="N168" s="136">
        <f t="shared" si="165"/>
        <v>30064.86</v>
      </c>
      <c r="O168" s="136"/>
      <c r="P168" s="136"/>
    </row>
    <row r="169" spans="1:16" x14ac:dyDescent="0.2">
      <c r="A169" s="134" t="s">
        <v>440</v>
      </c>
      <c r="B169" s="134"/>
      <c r="C169" s="134" t="s">
        <v>76</v>
      </c>
      <c r="D169" s="134">
        <v>8</v>
      </c>
      <c r="E169" s="136">
        <f t="shared" si="160"/>
        <v>416114.51050000009</v>
      </c>
      <c r="F169" s="136">
        <f>21595*(B$5+1)*12</f>
        <v>277279.80000000005</v>
      </c>
      <c r="G169" s="136">
        <f t="shared" si="166"/>
        <v>61001.556000000011</v>
      </c>
      <c r="H169" s="136">
        <f t="shared" si="161"/>
        <v>49703.64</v>
      </c>
      <c r="I169" s="136">
        <f>0*12</f>
        <v>0</v>
      </c>
      <c r="J169" s="143">
        <v>1926</v>
      </c>
      <c r="K169" s="136">
        <v>0</v>
      </c>
      <c r="L169" s="136">
        <v>93</v>
      </c>
      <c r="M169" s="136">
        <f t="shared" si="163"/>
        <v>3003.8645000000006</v>
      </c>
      <c r="N169" s="136">
        <f t="shared" si="165"/>
        <v>23106.650000000005</v>
      </c>
      <c r="O169" s="136"/>
      <c r="P169" s="136"/>
    </row>
    <row r="170" spans="1:16" x14ac:dyDescent="0.2">
      <c r="A170" s="134" t="s">
        <v>429</v>
      </c>
      <c r="B170" s="161"/>
      <c r="C170" s="134" t="s">
        <v>449</v>
      </c>
      <c r="D170" s="134">
        <v>8</v>
      </c>
      <c r="E170" s="136">
        <f t="shared" si="160"/>
        <v>424598.51050000009</v>
      </c>
      <c r="F170" s="136">
        <f>21595*(B$5+1)*12</f>
        <v>277279.80000000005</v>
      </c>
      <c r="G170" s="136">
        <f>F170*0.22</f>
        <v>61001.556000000011</v>
      </c>
      <c r="H170" s="136">
        <f t="shared" si="161"/>
        <v>49703.64</v>
      </c>
      <c r="I170" s="136">
        <f t="shared" si="109"/>
        <v>8400</v>
      </c>
      <c r="J170" s="143">
        <v>1926</v>
      </c>
      <c r="K170" s="136">
        <v>0</v>
      </c>
      <c r="L170" s="136">
        <v>93</v>
      </c>
      <c r="M170" s="136">
        <f t="shared" si="163"/>
        <v>3087.8645000000006</v>
      </c>
      <c r="N170" s="136">
        <f>F170/12</f>
        <v>23106.650000000005</v>
      </c>
      <c r="O170" s="136"/>
      <c r="P170" s="136"/>
    </row>
    <row r="171" spans="1:16" x14ac:dyDescent="0.2">
      <c r="A171" s="134"/>
      <c r="B171" s="134"/>
      <c r="C171" s="134"/>
      <c r="D171" s="134"/>
      <c r="E171" s="136"/>
      <c r="F171" s="136"/>
      <c r="G171" s="136"/>
      <c r="H171" s="136"/>
      <c r="I171" s="136"/>
      <c r="J171" s="143"/>
      <c r="K171" s="136"/>
      <c r="L171" s="136"/>
      <c r="M171" s="136"/>
      <c r="N171" s="136"/>
      <c r="O171" s="136"/>
      <c r="P171" s="136"/>
    </row>
    <row r="172" spans="1:16" x14ac:dyDescent="0.2">
      <c r="A172" s="133" t="s">
        <v>571</v>
      </c>
      <c r="B172" s="134"/>
      <c r="C172" s="134"/>
      <c r="D172" s="134"/>
      <c r="E172" s="136"/>
      <c r="F172" s="136"/>
      <c r="G172" s="136"/>
      <c r="H172" s="136"/>
      <c r="I172" s="136"/>
      <c r="J172" s="143"/>
      <c r="K172" s="136"/>
      <c r="L172" s="136"/>
      <c r="M172" s="136"/>
      <c r="N172" s="136"/>
      <c r="O172" s="136"/>
      <c r="P172" s="136"/>
    </row>
    <row r="173" spans="1:16" x14ac:dyDescent="0.2">
      <c r="A173" s="133"/>
      <c r="B173" s="134"/>
      <c r="C173" s="134"/>
      <c r="D173" s="134"/>
      <c r="E173" s="136"/>
      <c r="F173" s="136"/>
      <c r="G173" s="136"/>
      <c r="H173" s="136"/>
      <c r="I173" s="136"/>
      <c r="J173" s="143"/>
      <c r="K173" s="136"/>
      <c r="L173" s="136"/>
      <c r="M173" s="136"/>
      <c r="N173" s="136"/>
      <c r="O173" s="136"/>
      <c r="P173" s="136"/>
    </row>
    <row r="174" spans="1:16" x14ac:dyDescent="0.2">
      <c r="A174" s="145" t="s">
        <v>729</v>
      </c>
      <c r="B174" s="165"/>
      <c r="C174" s="145" t="s">
        <v>34</v>
      </c>
      <c r="D174" s="145">
        <v>2</v>
      </c>
      <c r="E174" s="136"/>
      <c r="F174" s="136"/>
      <c r="G174" s="136"/>
      <c r="H174" s="136"/>
      <c r="I174" s="136"/>
      <c r="J174" s="143"/>
      <c r="K174" s="136"/>
      <c r="L174" s="136"/>
      <c r="M174" s="136"/>
      <c r="N174" s="136"/>
      <c r="O174" s="136"/>
      <c r="P174" s="136"/>
    </row>
    <row r="175" spans="1:16" x14ac:dyDescent="0.2">
      <c r="A175" s="134" t="s">
        <v>742</v>
      </c>
      <c r="B175" s="134"/>
      <c r="C175" s="134" t="s">
        <v>448</v>
      </c>
      <c r="D175" s="134">
        <v>3</v>
      </c>
      <c r="E175" s="136">
        <f t="shared" ref="E175" si="167">SUM(F175:P175)</f>
        <v>912075.38430000003</v>
      </c>
      <c r="F175" s="136">
        <f>41937*(B$5+1)*12</f>
        <v>538471.08000000007</v>
      </c>
      <c r="G175" s="136">
        <f>F175*0.22</f>
        <v>118463.63760000002</v>
      </c>
      <c r="H175" s="136">
        <f t="shared" si="157"/>
        <v>49703.64</v>
      </c>
      <c r="I175" s="136">
        <f t="shared" si="109"/>
        <v>8400</v>
      </c>
      <c r="J175" s="143">
        <v>1926</v>
      </c>
      <c r="K175" s="136">
        <f t="shared" ref="K175" si="168">11900*12</f>
        <v>142800</v>
      </c>
      <c r="L175" s="136">
        <v>93</v>
      </c>
      <c r="M175" s="136">
        <f t="shared" ref="M175" si="169">(N175+I175+K175+F175)*0.01</f>
        <v>7345.4367000000002</v>
      </c>
      <c r="N175" s="136">
        <f>F175/12</f>
        <v>44872.590000000004</v>
      </c>
      <c r="O175" s="136"/>
      <c r="P175" s="136"/>
    </row>
    <row r="176" spans="1:16" x14ac:dyDescent="0.2">
      <c r="A176" s="134" t="s">
        <v>430</v>
      </c>
      <c r="B176" s="134"/>
      <c r="C176" s="134" t="s">
        <v>38</v>
      </c>
      <c r="D176" s="134">
        <v>5</v>
      </c>
      <c r="E176" s="136">
        <f t="shared" ref="E176" si="170">SUM(F176:P176)</f>
        <v>718949.3861</v>
      </c>
      <c r="F176" s="136">
        <f>31799*(B$5+1)*12</f>
        <v>408299.16000000003</v>
      </c>
      <c r="G176" s="136">
        <f t="shared" ref="G176:G177" si="171">F176*0.22</f>
        <v>89825.815200000012</v>
      </c>
      <c r="H176" s="136">
        <f t="shared" si="157"/>
        <v>49703.64</v>
      </c>
      <c r="I176" s="136">
        <f t="shared" si="109"/>
        <v>8400</v>
      </c>
      <c r="J176" s="143">
        <v>1926</v>
      </c>
      <c r="K176" s="136">
        <f t="shared" ref="K176" si="172">10080*12</f>
        <v>120960</v>
      </c>
      <c r="L176" s="136">
        <v>93</v>
      </c>
      <c r="M176" s="136">
        <f t="shared" ref="M176:M177" si="173">(N176+I176+K176+F176)*0.01</f>
        <v>5716.8409000000011</v>
      </c>
      <c r="N176" s="136">
        <f>F176/12</f>
        <v>34024.93</v>
      </c>
      <c r="O176" s="136"/>
      <c r="P176" s="136"/>
    </row>
    <row r="177" spans="1:16" x14ac:dyDescent="0.2">
      <c r="A177" s="134" t="s">
        <v>738</v>
      </c>
      <c r="B177" s="134"/>
      <c r="C177" s="134" t="s">
        <v>41</v>
      </c>
      <c r="D177" s="134">
        <v>5</v>
      </c>
      <c r="E177" s="136">
        <f t="shared" ref="E177" si="174">SUM(F177:P177)</f>
        <v>718949.3861</v>
      </c>
      <c r="F177" s="136">
        <f>31799*(B$5+1)*12</f>
        <v>408299.16000000003</v>
      </c>
      <c r="G177" s="136">
        <f t="shared" si="171"/>
        <v>89825.815200000012</v>
      </c>
      <c r="H177" s="136">
        <f t="shared" si="157"/>
        <v>49703.64</v>
      </c>
      <c r="I177" s="136">
        <f t="shared" si="109"/>
        <v>8400</v>
      </c>
      <c r="J177" s="143">
        <v>1926</v>
      </c>
      <c r="K177" s="136">
        <f>10080*12</f>
        <v>120960</v>
      </c>
      <c r="L177" s="136">
        <v>93</v>
      </c>
      <c r="M177" s="136">
        <f t="shared" si="173"/>
        <v>5716.8409000000011</v>
      </c>
      <c r="N177" s="136">
        <f>F177/12</f>
        <v>34024.93</v>
      </c>
      <c r="O177" s="136"/>
      <c r="P177" s="136"/>
    </row>
    <row r="178" spans="1:16" x14ac:dyDescent="0.2">
      <c r="A178" s="134" t="s">
        <v>468</v>
      </c>
      <c r="B178" s="161"/>
      <c r="C178" s="134" t="s">
        <v>485</v>
      </c>
      <c r="D178" s="134">
        <v>5</v>
      </c>
      <c r="E178" s="136">
        <f t="shared" ref="E178:E179" si="175">SUM(F178:P178)</f>
        <v>693014.20180000004</v>
      </c>
      <c r="F178" s="136">
        <f>30262*(B$5+1)*12</f>
        <v>388564.08</v>
      </c>
      <c r="G178" s="136">
        <f>F178*0.22</f>
        <v>85484.097600000008</v>
      </c>
      <c r="H178" s="136">
        <f t="shared" si="157"/>
        <v>49703.64</v>
      </c>
      <c r="I178" s="136">
        <f t="shared" si="109"/>
        <v>8400</v>
      </c>
      <c r="J178" s="143">
        <v>1926</v>
      </c>
      <c r="K178" s="136">
        <f>10080*12</f>
        <v>120960</v>
      </c>
      <c r="L178" s="136">
        <v>93</v>
      </c>
      <c r="M178" s="136">
        <f>(N178+I178+K178+F178)*0.01</f>
        <v>5503.0442000000003</v>
      </c>
      <c r="N178" s="136">
        <f>F178/12</f>
        <v>32380.34</v>
      </c>
      <c r="O178" s="136"/>
      <c r="P178" s="136"/>
    </row>
    <row r="179" spans="1:16" x14ac:dyDescent="0.2">
      <c r="A179" s="134" t="s">
        <v>458</v>
      </c>
      <c r="B179" s="161"/>
      <c r="C179" s="134" t="s">
        <v>352</v>
      </c>
      <c r="D179" s="134">
        <v>7</v>
      </c>
      <c r="E179" s="136">
        <f t="shared" si="175"/>
        <v>470090.54490000004</v>
      </c>
      <c r="F179" s="136">
        <f>24291*(B$5+1)*12</f>
        <v>311896.44000000006</v>
      </c>
      <c r="G179" s="136">
        <f t="shared" ref="G179" si="176">F179*0.22</f>
        <v>68617.216800000009</v>
      </c>
      <c r="H179" s="136">
        <f t="shared" ref="H179" si="177">3871*(B$6+1)*12</f>
        <v>49703.64</v>
      </c>
      <c r="I179" s="136">
        <f t="shared" si="109"/>
        <v>8400</v>
      </c>
      <c r="J179" s="143">
        <v>1926</v>
      </c>
      <c r="K179" s="136">
        <f t="shared" si="158"/>
        <v>0</v>
      </c>
      <c r="L179" s="136">
        <v>93</v>
      </c>
      <c r="M179" s="136">
        <f t="shared" ref="M179" si="178">(N179+I179+K179+F179)*0.01</f>
        <v>3462.8781000000008</v>
      </c>
      <c r="N179" s="136">
        <f t="shared" ref="N179" si="179">F179/12</f>
        <v>25991.370000000006</v>
      </c>
      <c r="O179" s="136"/>
      <c r="P179" s="136"/>
    </row>
    <row r="180" spans="1:16" x14ac:dyDescent="0.2">
      <c r="A180" s="134" t="s">
        <v>473</v>
      </c>
      <c r="B180" s="134"/>
      <c r="C180" s="134" t="s">
        <v>474</v>
      </c>
      <c r="D180" s="134">
        <v>9</v>
      </c>
      <c r="E180" s="136">
        <f t="shared" si="123"/>
        <v>366535.42060000007</v>
      </c>
      <c r="F180" s="136">
        <f>18154*(B$5+1)*12</f>
        <v>233097.36000000004</v>
      </c>
      <c r="G180" s="136">
        <f t="shared" ref="G180:G182" si="180">F180*0.22</f>
        <v>51281.419200000011</v>
      </c>
      <c r="H180" s="136">
        <f t="shared" si="157"/>
        <v>49703.64</v>
      </c>
      <c r="I180" s="136">
        <f t="shared" si="109"/>
        <v>8400</v>
      </c>
      <c r="J180" s="143">
        <v>1926</v>
      </c>
      <c r="K180" s="136">
        <f t="shared" si="158"/>
        <v>0</v>
      </c>
      <c r="L180" s="136">
        <v>93</v>
      </c>
      <c r="M180" s="136">
        <f t="shared" ref="M180:M182" si="181">(N180+I180+K180+F180)*0.01</f>
        <v>2609.2214000000004</v>
      </c>
      <c r="N180" s="136">
        <f t="shared" ref="N180:N182" si="182">F180/12</f>
        <v>19424.780000000002</v>
      </c>
      <c r="O180" s="136"/>
      <c r="P180" s="136"/>
    </row>
    <row r="181" spans="1:16" x14ac:dyDescent="0.2">
      <c r="A181" s="134" t="s">
        <v>21</v>
      </c>
      <c r="B181" s="155"/>
      <c r="C181" s="134" t="s">
        <v>296</v>
      </c>
      <c r="D181" s="134">
        <v>10</v>
      </c>
      <c r="E181" s="136">
        <f t="shared" ref="E181:E182" si="183">SUM(F181:P181)</f>
        <v>325244.98730000004</v>
      </c>
      <c r="F181" s="136">
        <f>15707*(B$5+1)*12</f>
        <v>201677.88</v>
      </c>
      <c r="G181" s="136">
        <f t="shared" si="180"/>
        <v>44369.133600000001</v>
      </c>
      <c r="H181" s="136">
        <f t="shared" si="157"/>
        <v>49703.64</v>
      </c>
      <c r="I181" s="136">
        <f t="shared" si="109"/>
        <v>8400</v>
      </c>
      <c r="J181" s="143">
        <v>1926</v>
      </c>
      <c r="K181" s="136">
        <f t="shared" si="158"/>
        <v>0</v>
      </c>
      <c r="L181" s="136">
        <v>93</v>
      </c>
      <c r="M181" s="136">
        <f t="shared" si="181"/>
        <v>2268.8436999999999</v>
      </c>
      <c r="N181" s="136">
        <f t="shared" si="182"/>
        <v>16806.490000000002</v>
      </c>
      <c r="O181" s="136"/>
      <c r="P181" s="164"/>
    </row>
    <row r="182" spans="1:16" x14ac:dyDescent="0.2">
      <c r="A182" s="134" t="s">
        <v>21</v>
      </c>
      <c r="B182" s="134"/>
      <c r="C182" s="134" t="s">
        <v>297</v>
      </c>
      <c r="D182" s="134">
        <v>10</v>
      </c>
      <c r="E182" s="136">
        <f t="shared" si="183"/>
        <v>325244.98730000004</v>
      </c>
      <c r="F182" s="136">
        <f>15707*(B$5+1)*12</f>
        <v>201677.88</v>
      </c>
      <c r="G182" s="136">
        <f t="shared" si="180"/>
        <v>44369.133600000001</v>
      </c>
      <c r="H182" s="136">
        <f t="shared" si="157"/>
        <v>49703.64</v>
      </c>
      <c r="I182" s="136">
        <f t="shared" si="109"/>
        <v>8400</v>
      </c>
      <c r="J182" s="143">
        <v>1926</v>
      </c>
      <c r="K182" s="136">
        <f t="shared" si="158"/>
        <v>0</v>
      </c>
      <c r="L182" s="136">
        <v>93</v>
      </c>
      <c r="M182" s="136">
        <f t="shared" si="181"/>
        <v>2268.8436999999999</v>
      </c>
      <c r="N182" s="136">
        <f t="shared" si="182"/>
        <v>16806.490000000002</v>
      </c>
      <c r="O182" s="136"/>
      <c r="P182" s="136"/>
    </row>
    <row r="183" spans="1:16" x14ac:dyDescent="0.2">
      <c r="A183" s="134"/>
      <c r="B183" s="161"/>
      <c r="C183" s="134"/>
      <c r="D183" s="134"/>
      <c r="E183" s="136"/>
      <c r="F183" s="136"/>
      <c r="G183" s="136"/>
      <c r="H183" s="136"/>
      <c r="I183" s="136"/>
      <c r="J183" s="143"/>
      <c r="K183" s="136"/>
      <c r="L183" s="136"/>
      <c r="M183" s="136"/>
      <c r="N183" s="136"/>
      <c r="O183" s="136"/>
      <c r="P183" s="136"/>
    </row>
    <row r="184" spans="1:16" x14ac:dyDescent="0.2">
      <c r="A184" s="133" t="s">
        <v>568</v>
      </c>
      <c r="B184" s="134"/>
      <c r="C184" s="134"/>
      <c r="D184" s="134"/>
      <c r="E184" s="136"/>
      <c r="F184" s="136"/>
      <c r="G184" s="136"/>
      <c r="H184" s="136"/>
      <c r="I184" s="136"/>
      <c r="J184" s="143"/>
      <c r="K184" s="136"/>
      <c r="L184" s="136"/>
      <c r="M184" s="136"/>
      <c r="N184" s="136"/>
      <c r="O184" s="136"/>
      <c r="P184" s="136"/>
    </row>
    <row r="185" spans="1:16" x14ac:dyDescent="0.2">
      <c r="A185" s="134"/>
      <c r="B185" s="134"/>
      <c r="C185" s="134"/>
      <c r="D185" s="134"/>
      <c r="E185" s="136"/>
      <c r="F185" s="136"/>
      <c r="G185" s="136"/>
      <c r="H185" s="136"/>
      <c r="I185" s="136"/>
      <c r="J185" s="143"/>
      <c r="K185" s="136"/>
      <c r="L185" s="136"/>
      <c r="M185" s="136"/>
      <c r="N185" s="136"/>
      <c r="O185" s="136"/>
      <c r="P185" s="136"/>
    </row>
    <row r="186" spans="1:16" x14ac:dyDescent="0.2">
      <c r="A186" s="134" t="s">
        <v>733</v>
      </c>
      <c r="B186" s="134"/>
      <c r="C186" s="134" t="s">
        <v>446</v>
      </c>
      <c r="D186" s="134">
        <v>2</v>
      </c>
      <c r="E186" s="136">
        <f t="shared" ref="E186" si="184">SUM(F186:P186)</f>
        <v>1011804.6731000001</v>
      </c>
      <c r="F186" s="136">
        <f>47129*(B$5+1)*12</f>
        <v>605136.3600000001</v>
      </c>
      <c r="G186" s="136">
        <f>F186*0.22</f>
        <v>133129.99920000002</v>
      </c>
      <c r="H186" s="136">
        <f t="shared" ref="H186:H188" si="185">3871*(B$6+1)*12</f>
        <v>49703.64</v>
      </c>
      <c r="I186" s="136">
        <f>700*12</f>
        <v>8400</v>
      </c>
      <c r="J186" s="143">
        <v>1926</v>
      </c>
      <c r="K186" s="136">
        <f t="shared" ref="K186" si="186">12900*12</f>
        <v>154800</v>
      </c>
      <c r="L186" s="136">
        <v>93</v>
      </c>
      <c r="M186" s="136">
        <f>(N186+I186+K186+F186)*0.01</f>
        <v>8187.6439000000018</v>
      </c>
      <c r="N186" s="136">
        <f t="shared" ref="N186:N188" si="187">F186/12</f>
        <v>50428.030000000006</v>
      </c>
      <c r="O186" s="136"/>
      <c r="P186" s="136"/>
    </row>
    <row r="187" spans="1:16" s="148" customFormat="1" x14ac:dyDescent="0.2">
      <c r="A187" s="145" t="s">
        <v>737</v>
      </c>
      <c r="B187" s="145"/>
      <c r="C187" s="145" t="s">
        <v>34</v>
      </c>
      <c r="D187" s="145">
        <v>5</v>
      </c>
      <c r="E187" s="146"/>
      <c r="F187" s="146"/>
      <c r="G187" s="146"/>
      <c r="H187" s="146"/>
      <c r="I187" s="146"/>
      <c r="J187" s="147"/>
      <c r="K187" s="146"/>
      <c r="L187" s="146"/>
      <c r="M187" s="146"/>
      <c r="N187" s="146"/>
      <c r="O187" s="146"/>
      <c r="P187" s="146"/>
    </row>
    <row r="188" spans="1:16" x14ac:dyDescent="0.2">
      <c r="A188" s="134" t="s">
        <v>75</v>
      </c>
      <c r="B188" s="134"/>
      <c r="C188" s="134" t="s">
        <v>78</v>
      </c>
      <c r="D188" s="134">
        <v>8</v>
      </c>
      <c r="E188" s="136">
        <f t="shared" ref="E188" si="188">SUM(F188:P188)</f>
        <v>531012.11050000007</v>
      </c>
      <c r="F188" s="136">
        <f>21595*(B$5+1)*12</f>
        <v>277279.80000000005</v>
      </c>
      <c r="G188" s="136">
        <f t="shared" ref="G188" si="189">F188*0.22</f>
        <v>61001.556000000011</v>
      </c>
      <c r="H188" s="136">
        <f t="shared" si="185"/>
        <v>49703.64</v>
      </c>
      <c r="I188" s="136">
        <f t="shared" ref="I188" si="190">700*12</f>
        <v>8400</v>
      </c>
      <c r="J188" s="143">
        <v>1926</v>
      </c>
      <c r="K188" s="136">
        <f>8780*12</f>
        <v>105360</v>
      </c>
      <c r="L188" s="136">
        <v>93</v>
      </c>
      <c r="M188" s="136">
        <f>(N188+I188+K188+F188)*0.01</f>
        <v>4141.464500000001</v>
      </c>
      <c r="N188" s="136">
        <f t="shared" si="187"/>
        <v>23106.650000000005</v>
      </c>
      <c r="O188" s="136"/>
      <c r="P188" s="136"/>
    </row>
    <row r="189" spans="1:16" x14ac:dyDescent="0.2">
      <c r="A189" s="134"/>
      <c r="B189" s="161"/>
      <c r="C189" s="134"/>
      <c r="D189" s="134"/>
      <c r="E189" s="136"/>
      <c r="F189" s="136"/>
      <c r="G189" s="136"/>
      <c r="H189" s="136"/>
      <c r="I189" s="136"/>
      <c r="J189" s="143"/>
      <c r="K189" s="136"/>
      <c r="L189" s="136"/>
      <c r="M189" s="136"/>
      <c r="N189" s="136"/>
      <c r="O189" s="136"/>
      <c r="P189" s="136"/>
    </row>
    <row r="190" spans="1:16" x14ac:dyDescent="0.2">
      <c r="A190" s="134" t="s">
        <v>329</v>
      </c>
      <c r="B190" s="134"/>
      <c r="C190" s="134"/>
      <c r="D190" s="134"/>
      <c r="E190" s="136">
        <f t="shared" si="123"/>
        <v>0</v>
      </c>
      <c r="F190" s="136"/>
      <c r="G190" s="136"/>
      <c r="H190" s="136"/>
      <c r="I190" s="136"/>
      <c r="J190" s="143"/>
      <c r="K190" s="136"/>
      <c r="L190" s="136"/>
      <c r="M190" s="136"/>
      <c r="N190" s="136"/>
      <c r="O190" s="136"/>
      <c r="P190" s="136"/>
    </row>
    <row r="191" spans="1:16" x14ac:dyDescent="0.2">
      <c r="A191" s="134" t="s">
        <v>157</v>
      </c>
      <c r="B191" s="134"/>
      <c r="C191" s="134"/>
      <c r="D191" s="134"/>
      <c r="E191" s="136">
        <f t="shared" si="123"/>
        <v>80000</v>
      </c>
      <c r="F191" s="136"/>
      <c r="G191" s="136"/>
      <c r="H191" s="136"/>
      <c r="I191" s="136"/>
      <c r="J191" s="143"/>
      <c r="K191" s="136"/>
      <c r="L191" s="136"/>
      <c r="M191" s="136"/>
      <c r="N191" s="136"/>
      <c r="O191" s="136">
        <v>80000</v>
      </c>
      <c r="P191" s="136"/>
    </row>
    <row r="192" spans="1:16" x14ac:dyDescent="0.2">
      <c r="A192" s="134" t="s">
        <v>164</v>
      </c>
      <c r="B192" s="134"/>
      <c r="C192" s="134" t="s">
        <v>164</v>
      </c>
      <c r="D192" s="134"/>
      <c r="E192" s="136">
        <f t="shared" si="123"/>
        <v>157200</v>
      </c>
      <c r="F192" s="136"/>
      <c r="G192" s="136"/>
      <c r="H192" s="136"/>
      <c r="I192" s="136"/>
      <c r="J192" s="143"/>
      <c r="K192" s="136"/>
      <c r="L192" s="136"/>
      <c r="M192" s="136"/>
      <c r="N192" s="136"/>
      <c r="O192" s="136"/>
      <c r="P192" s="136">
        <v>157200</v>
      </c>
    </row>
    <row r="193" spans="1:16" ht="12" thickBot="1" x14ac:dyDescent="0.25">
      <c r="A193" s="134"/>
      <c r="B193" s="134"/>
      <c r="C193" s="134"/>
      <c r="D193" s="134"/>
      <c r="E193" s="149">
        <f t="shared" ref="E193:P193" si="191">SUM(E131:E192)</f>
        <v>20342275.634141669</v>
      </c>
      <c r="F193" s="149">
        <f t="shared" si="191"/>
        <v>12197690.770000001</v>
      </c>
      <c r="G193" s="149">
        <f t="shared" si="191"/>
        <v>2599427.0038000001</v>
      </c>
      <c r="H193" s="149">
        <f t="shared" si="191"/>
        <v>1888738.3199999984</v>
      </c>
      <c r="I193" s="149">
        <f t="shared" si="191"/>
        <v>302400</v>
      </c>
      <c r="J193" s="149">
        <f t="shared" si="191"/>
        <v>73188</v>
      </c>
      <c r="K193" s="149">
        <f t="shared" si="191"/>
        <v>1844040</v>
      </c>
      <c r="L193" s="149">
        <f t="shared" si="191"/>
        <v>3534</v>
      </c>
      <c r="M193" s="149">
        <f t="shared" si="191"/>
        <v>143460.15230833334</v>
      </c>
      <c r="N193" s="149">
        <f t="shared" si="191"/>
        <v>1052597.3880333335</v>
      </c>
      <c r="O193" s="149">
        <f t="shared" si="191"/>
        <v>80000</v>
      </c>
      <c r="P193" s="149">
        <f t="shared" si="191"/>
        <v>157200</v>
      </c>
    </row>
    <row r="194" spans="1:16" ht="12" thickTop="1" x14ac:dyDescent="0.2">
      <c r="A194" s="134"/>
      <c r="B194" s="134"/>
      <c r="C194" s="134" t="s">
        <v>199</v>
      </c>
      <c r="D194" s="134">
        <f>COUNT(D131:D193)</f>
        <v>43</v>
      </c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</row>
    <row r="195" spans="1:16" x14ac:dyDescent="0.2">
      <c r="A195" s="134"/>
      <c r="B195" s="134"/>
      <c r="C195" s="134" t="s">
        <v>108</v>
      </c>
      <c r="D195" s="134">
        <v>42</v>
      </c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</row>
    <row r="196" spans="1:16" x14ac:dyDescent="0.2">
      <c r="A196" s="135" t="s">
        <v>112</v>
      </c>
      <c r="B196" s="134"/>
      <c r="C196" s="134"/>
      <c r="D196" s="134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</row>
    <row r="197" spans="1:16" x14ac:dyDescent="0.2">
      <c r="A197" s="134"/>
      <c r="B197" s="134"/>
      <c r="C197" s="134" t="s">
        <v>176</v>
      </c>
      <c r="D197" s="141" t="s">
        <v>177</v>
      </c>
      <c r="E197" s="141" t="s">
        <v>178</v>
      </c>
      <c r="F197" s="141" t="s">
        <v>179</v>
      </c>
      <c r="G197" s="141" t="s">
        <v>180</v>
      </c>
      <c r="H197" s="141" t="s">
        <v>181</v>
      </c>
      <c r="I197" s="141" t="s">
        <v>182</v>
      </c>
      <c r="J197" s="141" t="s">
        <v>183</v>
      </c>
      <c r="K197" s="141" t="s">
        <v>184</v>
      </c>
      <c r="L197" s="141" t="s">
        <v>185</v>
      </c>
      <c r="M197" s="141" t="s">
        <v>186</v>
      </c>
      <c r="N197" s="141" t="s">
        <v>187</v>
      </c>
      <c r="O197" s="141" t="s">
        <v>372</v>
      </c>
      <c r="P197" s="136" t="s">
        <v>164</v>
      </c>
    </row>
    <row r="198" spans="1:16" x14ac:dyDescent="0.2">
      <c r="A198" s="134"/>
      <c r="B198" s="134"/>
      <c r="C198" s="134"/>
      <c r="D198" s="141" t="s">
        <v>188</v>
      </c>
      <c r="E198" s="141" t="s">
        <v>189</v>
      </c>
      <c r="F198" s="141"/>
      <c r="G198" s="141" t="s">
        <v>190</v>
      </c>
      <c r="H198" s="141" t="s">
        <v>190</v>
      </c>
      <c r="I198" s="141" t="s">
        <v>191</v>
      </c>
      <c r="J198" s="141"/>
      <c r="K198" s="141" t="s">
        <v>192</v>
      </c>
      <c r="L198" s="141" t="s">
        <v>193</v>
      </c>
      <c r="M198" s="141" t="s">
        <v>194</v>
      </c>
      <c r="N198" s="141" t="s">
        <v>195</v>
      </c>
      <c r="O198" s="141" t="s">
        <v>192</v>
      </c>
      <c r="P198" s="136"/>
    </row>
    <row r="199" spans="1:16" x14ac:dyDescent="0.2">
      <c r="A199" s="153" t="s">
        <v>780</v>
      </c>
      <c r="B199" s="134"/>
      <c r="C199" s="134" t="s">
        <v>452</v>
      </c>
      <c r="D199" s="134">
        <v>0</v>
      </c>
      <c r="E199" s="136">
        <f>SUM(F199:P199)</f>
        <v>1014409.7208000001</v>
      </c>
      <c r="F199" s="136">
        <f>48758*(B$5+1)*12</f>
        <v>626052.72000000009</v>
      </c>
      <c r="G199" s="136">
        <f>41084+(41084*9.5%)</f>
        <v>44986.98</v>
      </c>
      <c r="H199" s="136">
        <f t="shared" ref="H199:H218" si="192">3871*(B$6+1)*12</f>
        <v>49703.64</v>
      </c>
      <c r="I199" s="136">
        <f>0*12</f>
        <v>0</v>
      </c>
      <c r="J199" s="143">
        <v>1926</v>
      </c>
      <c r="K199" s="136">
        <f>17000*12</f>
        <v>204000</v>
      </c>
      <c r="L199" s="136">
        <v>93</v>
      </c>
      <c r="M199" s="136">
        <v>0</v>
      </c>
      <c r="N199" s="136">
        <f>F199*0.14</f>
        <v>87647.380800000014</v>
      </c>
      <c r="O199" s="136"/>
      <c r="P199" s="136"/>
    </row>
    <row r="200" spans="1:16" x14ac:dyDescent="0.2">
      <c r="A200" s="145" t="s">
        <v>436</v>
      </c>
      <c r="B200" s="145"/>
      <c r="C200" s="145" t="s">
        <v>34</v>
      </c>
      <c r="D200" s="145">
        <v>8</v>
      </c>
      <c r="E200" s="146">
        <f t="shared" ref="E200" si="193">SUM(F200:P200)</f>
        <v>0</v>
      </c>
      <c r="F200" s="146"/>
      <c r="G200" s="146"/>
      <c r="H200" s="146"/>
      <c r="I200" s="146"/>
      <c r="J200" s="147"/>
      <c r="K200" s="146"/>
      <c r="L200" s="146"/>
      <c r="M200" s="146"/>
      <c r="N200" s="146"/>
      <c r="O200" s="146"/>
      <c r="P200" s="146"/>
    </row>
    <row r="201" spans="1:16" x14ac:dyDescent="0.2">
      <c r="A201" s="145" t="s">
        <v>789</v>
      </c>
      <c r="B201" s="145"/>
      <c r="C201" s="145" t="s">
        <v>34</v>
      </c>
      <c r="D201" s="145">
        <v>5</v>
      </c>
      <c r="E201" s="146"/>
      <c r="F201" s="146"/>
      <c r="G201" s="146"/>
      <c r="H201" s="146"/>
      <c r="I201" s="146"/>
      <c r="J201" s="147"/>
      <c r="K201" s="146"/>
      <c r="L201" s="146"/>
      <c r="M201" s="146"/>
      <c r="N201" s="146"/>
      <c r="O201" s="146"/>
      <c r="P201" s="146"/>
    </row>
    <row r="202" spans="1:16" x14ac:dyDescent="0.2">
      <c r="A202" s="134" t="s">
        <v>491</v>
      </c>
      <c r="B202" s="145"/>
      <c r="C202" s="134" t="s">
        <v>492</v>
      </c>
      <c r="D202" s="145"/>
      <c r="E202" s="136">
        <f>SUM(F202:P202)</f>
        <v>126538.20000000001</v>
      </c>
      <c r="F202" s="136">
        <f>9855*(B$6+1)*12</f>
        <v>126538.20000000001</v>
      </c>
      <c r="G202" s="146"/>
      <c r="H202" s="146"/>
      <c r="I202" s="146"/>
      <c r="J202" s="147"/>
      <c r="K202" s="146"/>
      <c r="L202" s="146"/>
      <c r="M202" s="146"/>
      <c r="N202" s="146"/>
      <c r="O202" s="146"/>
      <c r="P202" s="146"/>
    </row>
    <row r="203" spans="1:16" x14ac:dyDescent="0.2">
      <c r="A203" s="153"/>
      <c r="B203" s="134"/>
      <c r="C203" s="134"/>
      <c r="D203" s="134"/>
      <c r="E203" s="136"/>
      <c r="F203" s="136"/>
      <c r="G203" s="136"/>
      <c r="H203" s="136"/>
      <c r="I203" s="136"/>
      <c r="J203" s="143"/>
      <c r="K203" s="136"/>
      <c r="L203" s="136"/>
      <c r="M203" s="136"/>
      <c r="N203" s="136"/>
      <c r="O203" s="136"/>
      <c r="P203" s="136"/>
    </row>
    <row r="204" spans="1:16" x14ac:dyDescent="0.2">
      <c r="A204" s="166" t="s">
        <v>282</v>
      </c>
      <c r="B204" s="134"/>
      <c r="C204" s="134"/>
      <c r="D204" s="134"/>
      <c r="E204" s="136"/>
      <c r="F204" s="136"/>
      <c r="G204" s="136"/>
      <c r="H204" s="136"/>
      <c r="I204" s="136"/>
      <c r="J204" s="143"/>
      <c r="K204" s="136"/>
      <c r="L204" s="136"/>
      <c r="M204" s="136"/>
      <c r="N204" s="136"/>
      <c r="O204" s="136"/>
      <c r="P204" s="136"/>
    </row>
    <row r="205" spans="1:16" x14ac:dyDescent="0.2">
      <c r="A205" s="153"/>
      <c r="B205" s="134"/>
      <c r="C205" s="134"/>
      <c r="D205" s="134"/>
      <c r="E205" s="136"/>
      <c r="F205" s="136"/>
      <c r="G205" s="136"/>
      <c r="H205" s="136"/>
      <c r="I205" s="136"/>
      <c r="J205" s="143"/>
      <c r="K205" s="136"/>
      <c r="L205" s="136"/>
      <c r="M205" s="136"/>
      <c r="N205" s="136"/>
      <c r="O205" s="136"/>
      <c r="P205" s="136"/>
    </row>
    <row r="206" spans="1:16" x14ac:dyDescent="0.2">
      <c r="A206" s="134" t="s">
        <v>782</v>
      </c>
      <c r="B206" s="134"/>
      <c r="C206" s="134" t="s">
        <v>63</v>
      </c>
      <c r="D206" s="134">
        <v>2</v>
      </c>
      <c r="E206" s="136">
        <f>SUM(F206:P206)</f>
        <v>1011804.6731000001</v>
      </c>
      <c r="F206" s="136">
        <f>47129*(B$5+1)*12</f>
        <v>605136.3600000001</v>
      </c>
      <c r="G206" s="136">
        <f t="shared" ref="G206" si="194">F206*0.22</f>
        <v>133129.99920000002</v>
      </c>
      <c r="H206" s="136">
        <f t="shared" si="192"/>
        <v>49703.64</v>
      </c>
      <c r="I206" s="136">
        <f t="shared" ref="I206:I218" si="195">700*12</f>
        <v>8400</v>
      </c>
      <c r="J206" s="143">
        <v>1926</v>
      </c>
      <c r="K206" s="136">
        <f t="shared" ref="K206:K217" si="196">12900*12</f>
        <v>154800</v>
      </c>
      <c r="L206" s="136">
        <v>93</v>
      </c>
      <c r="M206" s="136">
        <f>(N206+I206+K206+F206)*0.01</f>
        <v>8187.6439000000018</v>
      </c>
      <c r="N206" s="136">
        <f>F206/12</f>
        <v>50428.030000000006</v>
      </c>
      <c r="O206" s="136"/>
      <c r="P206" s="136"/>
    </row>
    <row r="207" spans="1:16" x14ac:dyDescent="0.2">
      <c r="A207" s="134" t="s">
        <v>790</v>
      </c>
      <c r="B207" s="134"/>
      <c r="C207" s="134" t="s">
        <v>453</v>
      </c>
      <c r="D207" s="134">
        <v>5</v>
      </c>
      <c r="E207" s="136">
        <f>SUM(F207:P207)</f>
        <v>718949.3861</v>
      </c>
      <c r="F207" s="136">
        <f>31799*(B$5+1)*12</f>
        <v>408299.16000000003</v>
      </c>
      <c r="G207" s="136">
        <f>F207*0.22</f>
        <v>89825.815200000012</v>
      </c>
      <c r="H207" s="136">
        <f t="shared" si="192"/>
        <v>49703.64</v>
      </c>
      <c r="I207" s="136">
        <f t="shared" si="195"/>
        <v>8400</v>
      </c>
      <c r="J207" s="143">
        <v>1926</v>
      </c>
      <c r="K207" s="136">
        <f>10080*12</f>
        <v>120960</v>
      </c>
      <c r="L207" s="136">
        <v>93</v>
      </c>
      <c r="M207" s="136">
        <f>(N207+I207+K207+F207)*0.01</f>
        <v>5716.8409000000011</v>
      </c>
      <c r="N207" s="136">
        <f>F207/12</f>
        <v>34024.93</v>
      </c>
      <c r="O207" s="136"/>
      <c r="P207" s="136"/>
    </row>
    <row r="208" spans="1:16" x14ac:dyDescent="0.2">
      <c r="A208" s="134"/>
      <c r="B208" s="134"/>
      <c r="C208" s="134"/>
      <c r="D208" s="134"/>
      <c r="E208" s="136"/>
      <c r="F208" s="136"/>
      <c r="G208" s="136"/>
      <c r="H208" s="136"/>
      <c r="I208" s="136"/>
      <c r="J208" s="143"/>
      <c r="K208" s="136"/>
      <c r="L208" s="136"/>
      <c r="M208" s="136"/>
      <c r="N208" s="136"/>
      <c r="O208" s="136"/>
      <c r="P208" s="136"/>
    </row>
    <row r="209" spans="1:16" x14ac:dyDescent="0.2">
      <c r="A209" s="160" t="s">
        <v>576</v>
      </c>
    </row>
    <row r="211" spans="1:16" x14ac:dyDescent="0.2">
      <c r="A211" s="134" t="s">
        <v>784</v>
      </c>
      <c r="B211" s="134"/>
      <c r="C211" s="134" t="s">
        <v>40</v>
      </c>
      <c r="D211" s="134">
        <v>2</v>
      </c>
      <c r="E211" s="136">
        <f>SUM(F211:P211)</f>
        <v>1011804.6731000001</v>
      </c>
      <c r="F211" s="136">
        <f>47129*(B$5+1)*12</f>
        <v>605136.3600000001</v>
      </c>
      <c r="G211" s="136">
        <f>F211*0.22</f>
        <v>133129.99920000002</v>
      </c>
      <c r="H211" s="136">
        <f t="shared" si="192"/>
        <v>49703.64</v>
      </c>
      <c r="I211" s="136">
        <f t="shared" si="195"/>
        <v>8400</v>
      </c>
      <c r="J211" s="143">
        <v>1926</v>
      </c>
      <c r="K211" s="136">
        <f t="shared" si="196"/>
        <v>154800</v>
      </c>
      <c r="L211" s="136">
        <v>93</v>
      </c>
      <c r="M211" s="136">
        <f>(N211+I211+K211+F211)*0.01</f>
        <v>8187.6439000000018</v>
      </c>
      <c r="N211" s="136">
        <f>F211/12</f>
        <v>50428.030000000006</v>
      </c>
      <c r="O211" s="136"/>
      <c r="P211" s="136"/>
    </row>
    <row r="212" spans="1:16" x14ac:dyDescent="0.2">
      <c r="A212" s="134" t="s">
        <v>432</v>
      </c>
      <c r="B212" s="134"/>
      <c r="C212" s="134" t="s">
        <v>354</v>
      </c>
      <c r="D212" s="134" t="s">
        <v>355</v>
      </c>
      <c r="E212" s="136">
        <f>SUM(F212:P212)</f>
        <v>804736.29370000015</v>
      </c>
      <c r="F212" s="136">
        <f>36883*(B$5+1)*12</f>
        <v>473577.72000000009</v>
      </c>
      <c r="G212" s="136">
        <f>F212*0.22</f>
        <v>104187.09840000002</v>
      </c>
      <c r="H212" s="136">
        <f t="shared" si="192"/>
        <v>49703.64</v>
      </c>
      <c r="I212" s="136">
        <f t="shared" si="195"/>
        <v>8400</v>
      </c>
      <c r="J212" s="143">
        <v>1926</v>
      </c>
      <c r="K212" s="136">
        <f>10080*12</f>
        <v>120960</v>
      </c>
      <c r="L212" s="136">
        <v>93</v>
      </c>
      <c r="M212" s="136">
        <f>(N212+I212+K212+F212)*0.01</f>
        <v>6424.0253000000002</v>
      </c>
      <c r="N212" s="136">
        <f>F212/12</f>
        <v>39464.810000000005</v>
      </c>
      <c r="O212" s="136"/>
      <c r="P212" s="136"/>
    </row>
    <row r="213" spans="1:16" x14ac:dyDescent="0.2">
      <c r="A213" s="145" t="s">
        <v>788</v>
      </c>
      <c r="B213" s="145"/>
      <c r="C213" s="145" t="s">
        <v>34</v>
      </c>
      <c r="D213" s="145">
        <v>6</v>
      </c>
      <c r="E213" s="136"/>
      <c r="F213" s="136"/>
      <c r="G213" s="136"/>
      <c r="H213" s="136"/>
      <c r="I213" s="136"/>
      <c r="J213" s="143"/>
      <c r="K213" s="136"/>
      <c r="L213" s="136"/>
      <c r="M213" s="136"/>
      <c r="N213" s="136"/>
      <c r="O213" s="136"/>
      <c r="P213" s="136"/>
    </row>
    <row r="214" spans="1:16" x14ac:dyDescent="0.2">
      <c r="A214" s="134"/>
      <c r="B214" s="134"/>
      <c r="C214" s="134"/>
      <c r="D214" s="134"/>
      <c r="E214" s="136"/>
      <c r="F214" s="136"/>
      <c r="G214" s="136"/>
      <c r="H214" s="136"/>
      <c r="I214" s="136"/>
      <c r="J214" s="143"/>
      <c r="K214" s="136"/>
      <c r="L214" s="136"/>
      <c r="M214" s="136"/>
      <c r="N214" s="136"/>
      <c r="O214" s="136"/>
      <c r="P214" s="136"/>
    </row>
    <row r="215" spans="1:16" x14ac:dyDescent="0.2">
      <c r="A215" s="133" t="s">
        <v>577</v>
      </c>
      <c r="B215" s="134"/>
      <c r="C215" s="134"/>
      <c r="D215" s="134"/>
      <c r="E215" s="136"/>
      <c r="F215" s="136"/>
      <c r="G215" s="136"/>
      <c r="H215" s="136"/>
      <c r="I215" s="136"/>
      <c r="J215" s="143"/>
      <c r="K215" s="136"/>
      <c r="L215" s="136"/>
      <c r="M215" s="136"/>
      <c r="N215" s="136"/>
      <c r="O215" s="136"/>
      <c r="P215" s="136"/>
    </row>
    <row r="216" spans="1:16" x14ac:dyDescent="0.2">
      <c r="A216" s="134"/>
      <c r="B216" s="134"/>
      <c r="C216" s="134"/>
      <c r="D216" s="134"/>
      <c r="E216" s="136"/>
      <c r="F216" s="136"/>
      <c r="G216" s="136"/>
      <c r="H216" s="136"/>
      <c r="I216" s="136"/>
      <c r="J216" s="143"/>
      <c r="K216" s="136"/>
      <c r="L216" s="136"/>
      <c r="M216" s="136"/>
      <c r="N216" s="136"/>
      <c r="O216" s="136"/>
      <c r="P216" s="136"/>
    </row>
    <row r="217" spans="1:16" x14ac:dyDescent="0.2">
      <c r="A217" s="134" t="s">
        <v>783</v>
      </c>
      <c r="B217" s="134"/>
      <c r="C217" s="134" t="s">
        <v>544</v>
      </c>
      <c r="D217" s="134">
        <v>2</v>
      </c>
      <c r="E217" s="136">
        <f t="shared" ref="E217:E228" si="197">SUM(F217:P217)</f>
        <v>1011804.6731000001</v>
      </c>
      <c r="F217" s="136">
        <f>47129*(B$5+1)*12</f>
        <v>605136.3600000001</v>
      </c>
      <c r="G217" s="136">
        <f>F217*0.22</f>
        <v>133129.99920000002</v>
      </c>
      <c r="H217" s="136">
        <f t="shared" si="192"/>
        <v>49703.64</v>
      </c>
      <c r="I217" s="136">
        <f t="shared" si="195"/>
        <v>8400</v>
      </c>
      <c r="J217" s="143">
        <v>1926</v>
      </c>
      <c r="K217" s="136">
        <f t="shared" si="196"/>
        <v>154800</v>
      </c>
      <c r="L217" s="136">
        <v>93</v>
      </c>
      <c r="M217" s="136">
        <f t="shared" ref="M217" si="198">(N217+I217+K217+F217)*0.01</f>
        <v>8187.6439000000018</v>
      </c>
      <c r="N217" s="136">
        <f t="shared" ref="N217" si="199">F217/12</f>
        <v>50428.030000000006</v>
      </c>
      <c r="O217" s="136"/>
      <c r="P217" s="136"/>
    </row>
    <row r="218" spans="1:16" x14ac:dyDescent="0.2">
      <c r="A218" s="134" t="s">
        <v>433</v>
      </c>
      <c r="B218" s="134"/>
      <c r="C218" s="134" t="s">
        <v>493</v>
      </c>
      <c r="D218" s="134">
        <v>5</v>
      </c>
      <c r="E218" s="136">
        <f>SUM(F218:P218)</f>
        <v>693014.20180000004</v>
      </c>
      <c r="F218" s="136">
        <f>30262*(B$5+1)*12</f>
        <v>388564.08</v>
      </c>
      <c r="G218" s="136">
        <f>F218*0.22</f>
        <v>85484.097600000008</v>
      </c>
      <c r="H218" s="136">
        <f t="shared" si="192"/>
        <v>49703.64</v>
      </c>
      <c r="I218" s="136">
        <f t="shared" si="195"/>
        <v>8400</v>
      </c>
      <c r="J218" s="143">
        <v>1926</v>
      </c>
      <c r="K218" s="136">
        <f>10080*12</f>
        <v>120960</v>
      </c>
      <c r="L218" s="136">
        <v>93</v>
      </c>
      <c r="M218" s="136">
        <f>(N218+I218+K218+F218)*0.01</f>
        <v>5503.0442000000003</v>
      </c>
      <c r="N218" s="136">
        <f>F218/12</f>
        <v>32380.34</v>
      </c>
      <c r="O218" s="136"/>
      <c r="P218" s="136"/>
    </row>
    <row r="219" spans="1:16" x14ac:dyDescent="0.2">
      <c r="A219" s="134"/>
      <c r="B219" s="134"/>
      <c r="C219" s="134"/>
      <c r="D219" s="134"/>
      <c r="E219" s="136"/>
      <c r="F219" s="136"/>
      <c r="G219" s="136"/>
      <c r="H219" s="136"/>
      <c r="I219" s="136"/>
      <c r="J219" s="143"/>
      <c r="K219" s="136"/>
      <c r="L219" s="136"/>
      <c r="M219" s="136"/>
      <c r="N219" s="136"/>
      <c r="O219" s="136"/>
      <c r="P219" s="136"/>
    </row>
    <row r="220" spans="1:16" x14ac:dyDescent="0.2">
      <c r="A220" s="133" t="s">
        <v>791</v>
      </c>
      <c r="B220" s="134"/>
      <c r="C220" s="134"/>
      <c r="D220" s="134"/>
      <c r="E220" s="136"/>
      <c r="F220" s="136"/>
      <c r="G220" s="136"/>
      <c r="H220" s="136"/>
      <c r="I220" s="136"/>
      <c r="J220" s="143"/>
      <c r="K220" s="136"/>
      <c r="L220" s="136"/>
      <c r="M220" s="136"/>
      <c r="N220" s="136"/>
      <c r="O220" s="136"/>
      <c r="P220" s="136"/>
    </row>
    <row r="221" spans="1:16" x14ac:dyDescent="0.2">
      <c r="A221" s="134"/>
      <c r="B221" s="134"/>
      <c r="C221" s="134"/>
      <c r="D221" s="134"/>
      <c r="E221" s="136"/>
      <c r="F221" s="136"/>
      <c r="G221" s="136"/>
      <c r="H221" s="136"/>
      <c r="I221" s="136"/>
      <c r="J221" s="143"/>
      <c r="K221" s="136"/>
      <c r="L221" s="136"/>
      <c r="M221" s="136"/>
      <c r="N221" s="136"/>
      <c r="O221" s="136"/>
      <c r="P221" s="136"/>
    </row>
    <row r="222" spans="1:16" x14ac:dyDescent="0.2">
      <c r="A222" s="145" t="s">
        <v>785</v>
      </c>
      <c r="B222" s="145"/>
      <c r="C222" s="145" t="s">
        <v>34</v>
      </c>
      <c r="D222" s="145">
        <v>2</v>
      </c>
      <c r="E222" s="136"/>
      <c r="F222" s="136"/>
      <c r="G222" s="136"/>
      <c r="H222" s="136"/>
      <c r="I222" s="136"/>
      <c r="J222" s="143"/>
      <c r="K222" s="136"/>
      <c r="L222" s="136"/>
      <c r="M222" s="136"/>
      <c r="N222" s="136"/>
      <c r="O222" s="136"/>
      <c r="P222" s="136"/>
    </row>
    <row r="223" spans="1:16" x14ac:dyDescent="0.2">
      <c r="A223" s="145" t="s">
        <v>787</v>
      </c>
      <c r="B223" s="145"/>
      <c r="C223" s="145" t="s">
        <v>34</v>
      </c>
      <c r="D223" s="145">
        <v>5</v>
      </c>
      <c r="E223" s="136"/>
      <c r="F223" s="136"/>
      <c r="G223" s="136"/>
      <c r="H223" s="136"/>
      <c r="I223" s="136"/>
      <c r="J223" s="143"/>
      <c r="K223" s="136"/>
      <c r="L223" s="136"/>
      <c r="M223" s="136"/>
      <c r="N223" s="136"/>
      <c r="O223" s="136"/>
      <c r="P223" s="136"/>
    </row>
    <row r="224" spans="1:16" x14ac:dyDescent="0.2">
      <c r="A224" s="145" t="s">
        <v>787</v>
      </c>
      <c r="B224" s="145"/>
      <c r="C224" s="145" t="s">
        <v>34</v>
      </c>
      <c r="D224" s="145">
        <v>5</v>
      </c>
      <c r="E224" s="136"/>
      <c r="F224" s="136"/>
      <c r="G224" s="136"/>
      <c r="H224" s="136"/>
      <c r="I224" s="136"/>
      <c r="J224" s="143"/>
      <c r="K224" s="136"/>
      <c r="L224" s="136"/>
      <c r="M224" s="136"/>
      <c r="N224" s="136"/>
      <c r="O224" s="136"/>
      <c r="P224" s="136"/>
    </row>
    <row r="226" spans="1:16" x14ac:dyDescent="0.2">
      <c r="A226" s="134" t="s">
        <v>329</v>
      </c>
      <c r="B226" s="134"/>
      <c r="C226" s="134"/>
      <c r="D226" s="134"/>
      <c r="E226" s="136">
        <f t="shared" si="197"/>
        <v>0</v>
      </c>
      <c r="F226" s="136"/>
      <c r="G226" s="136"/>
      <c r="H226" s="136"/>
      <c r="I226" s="136"/>
      <c r="J226" s="143"/>
      <c r="K226" s="136"/>
      <c r="L226" s="136"/>
      <c r="M226" s="136"/>
      <c r="N226" s="136"/>
      <c r="O226" s="136"/>
      <c r="P226" s="136"/>
    </row>
    <row r="227" spans="1:16" x14ac:dyDescent="0.2">
      <c r="A227" s="134" t="s">
        <v>157</v>
      </c>
      <c r="B227" s="134"/>
      <c r="C227" s="134"/>
      <c r="D227" s="134"/>
      <c r="E227" s="136">
        <f t="shared" si="197"/>
        <v>80000</v>
      </c>
      <c r="F227" s="136"/>
      <c r="G227" s="136"/>
      <c r="H227" s="136"/>
      <c r="I227" s="136"/>
      <c r="J227" s="143"/>
      <c r="K227" s="136"/>
      <c r="L227" s="136"/>
      <c r="M227" s="136"/>
      <c r="N227" s="136"/>
      <c r="O227" s="136">
        <v>80000</v>
      </c>
      <c r="P227" s="136"/>
    </row>
    <row r="228" spans="1:16" x14ac:dyDescent="0.2">
      <c r="A228" s="134" t="s">
        <v>164</v>
      </c>
      <c r="B228" s="134"/>
      <c r="C228" s="134" t="s">
        <v>164</v>
      </c>
      <c r="D228" s="134"/>
      <c r="E228" s="136">
        <f t="shared" si="197"/>
        <v>55000</v>
      </c>
      <c r="F228" s="136"/>
      <c r="G228" s="136"/>
      <c r="H228" s="136"/>
      <c r="I228" s="136"/>
      <c r="J228" s="143"/>
      <c r="K228" s="136"/>
      <c r="L228" s="136"/>
      <c r="M228" s="136"/>
      <c r="N228" s="136"/>
      <c r="O228" s="136"/>
      <c r="P228" s="136">
        <v>55000</v>
      </c>
    </row>
    <row r="229" spans="1:16" ht="12" thickBot="1" x14ac:dyDescent="0.25">
      <c r="A229" s="134"/>
      <c r="B229" s="134"/>
      <c r="C229" s="134"/>
      <c r="D229" s="134"/>
      <c r="E229" s="149">
        <f t="shared" ref="E229:P229" si="200">SUM(E199:E228)</f>
        <v>6528061.8217000011</v>
      </c>
      <c r="F229" s="149">
        <f t="shared" si="200"/>
        <v>3838440.9600000009</v>
      </c>
      <c r="G229" s="149">
        <f t="shared" si="200"/>
        <v>723873.98880000005</v>
      </c>
      <c r="H229" s="149">
        <f t="shared" si="200"/>
        <v>347925.48000000004</v>
      </c>
      <c r="I229" s="149">
        <f t="shared" si="200"/>
        <v>50400</v>
      </c>
      <c r="J229" s="149">
        <f t="shared" si="200"/>
        <v>13482</v>
      </c>
      <c r="K229" s="149">
        <f t="shared" si="200"/>
        <v>1031280</v>
      </c>
      <c r="L229" s="149">
        <f t="shared" si="200"/>
        <v>651</v>
      </c>
      <c r="M229" s="149">
        <f t="shared" si="200"/>
        <v>42206.842100000009</v>
      </c>
      <c r="N229" s="149">
        <f t="shared" si="200"/>
        <v>344801.55080000003</v>
      </c>
      <c r="O229" s="149">
        <f t="shared" si="200"/>
        <v>80000</v>
      </c>
      <c r="P229" s="149">
        <f t="shared" si="200"/>
        <v>55000</v>
      </c>
    </row>
    <row r="230" spans="1:16" ht="12" thickTop="1" x14ac:dyDescent="0.2">
      <c r="A230" s="134"/>
      <c r="B230" s="134"/>
      <c r="C230" s="134" t="s">
        <v>199</v>
      </c>
      <c r="D230" s="167" t="s">
        <v>442</v>
      </c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</row>
    <row r="231" spans="1:16" x14ac:dyDescent="0.2">
      <c r="A231" s="134"/>
      <c r="B231" s="134"/>
      <c r="C231" s="134"/>
      <c r="D231" s="167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</row>
    <row r="232" spans="1:16" x14ac:dyDescent="0.2">
      <c r="A232" s="134"/>
      <c r="B232" s="134"/>
      <c r="C232" s="134"/>
      <c r="D232" s="167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</row>
    <row r="233" spans="1:16" x14ac:dyDescent="0.2">
      <c r="A233" s="135" t="s">
        <v>325</v>
      </c>
      <c r="B233" s="134"/>
      <c r="C233" s="134"/>
      <c r="D233" s="134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</row>
    <row r="234" spans="1:16" x14ac:dyDescent="0.2">
      <c r="A234" s="135"/>
      <c r="B234" s="134"/>
      <c r="C234" s="134"/>
      <c r="D234" s="134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</row>
    <row r="235" spans="1:16" x14ac:dyDescent="0.2">
      <c r="A235" s="134"/>
      <c r="B235" s="134"/>
      <c r="C235" s="134" t="s">
        <v>176</v>
      </c>
      <c r="D235" s="141" t="s">
        <v>177</v>
      </c>
      <c r="E235" s="141" t="s">
        <v>178</v>
      </c>
      <c r="F235" s="141" t="s">
        <v>179</v>
      </c>
      <c r="G235" s="141" t="s">
        <v>180</v>
      </c>
      <c r="H235" s="141" t="s">
        <v>181</v>
      </c>
      <c r="I235" s="141" t="s">
        <v>182</v>
      </c>
      <c r="J235" s="141" t="s">
        <v>183</v>
      </c>
      <c r="K235" s="141" t="s">
        <v>184</v>
      </c>
      <c r="L235" s="141" t="s">
        <v>185</v>
      </c>
      <c r="M235" s="141" t="s">
        <v>186</v>
      </c>
      <c r="N235" s="141" t="s">
        <v>187</v>
      </c>
      <c r="O235" s="141" t="s">
        <v>372</v>
      </c>
      <c r="P235" s="136" t="s">
        <v>164</v>
      </c>
    </row>
    <row r="236" spans="1:16" x14ac:dyDescent="0.2">
      <c r="A236" s="134"/>
      <c r="B236" s="134"/>
      <c r="C236" s="134"/>
      <c r="D236" s="141" t="s">
        <v>188</v>
      </c>
      <c r="E236" s="141" t="s">
        <v>189</v>
      </c>
      <c r="F236" s="141"/>
      <c r="G236" s="141" t="s">
        <v>190</v>
      </c>
      <c r="H236" s="141" t="s">
        <v>190</v>
      </c>
      <c r="I236" s="141" t="s">
        <v>191</v>
      </c>
      <c r="J236" s="141"/>
      <c r="K236" s="141" t="s">
        <v>192</v>
      </c>
      <c r="L236" s="141" t="s">
        <v>193</v>
      </c>
      <c r="M236" s="141" t="s">
        <v>194</v>
      </c>
      <c r="N236" s="141" t="s">
        <v>195</v>
      </c>
      <c r="O236" s="141" t="s">
        <v>192</v>
      </c>
      <c r="P236" s="136"/>
    </row>
    <row r="237" spans="1:16" x14ac:dyDescent="0.2">
      <c r="A237" s="153" t="s">
        <v>746</v>
      </c>
      <c r="B237" s="134"/>
      <c r="C237" s="134" t="s">
        <v>395</v>
      </c>
      <c r="D237" s="134">
        <v>0</v>
      </c>
      <c r="E237" s="136">
        <f>SUM(F237:P237)</f>
        <v>1323810.5352</v>
      </c>
      <c r="F237" s="136">
        <f>58077*(B$5+1)*12</f>
        <v>745708.68</v>
      </c>
      <c r="G237" s="136">
        <f>84000+(84000*9.5%)</f>
        <v>91980</v>
      </c>
      <c r="H237" s="136">
        <f t="shared" ref="H237:H280" si="201">3871*(B$6+1)*12</f>
        <v>49703.64</v>
      </c>
      <c r="I237" s="136">
        <f>0*12</f>
        <v>0</v>
      </c>
      <c r="J237" s="143">
        <v>1926</v>
      </c>
      <c r="K237" s="136">
        <f>27500*12</f>
        <v>330000</v>
      </c>
      <c r="L237" s="136">
        <v>93</v>
      </c>
      <c r="M237" s="136">
        <v>0</v>
      </c>
      <c r="N237" s="136">
        <f>F237*0.14</f>
        <v>104399.21520000002</v>
      </c>
      <c r="O237" s="136"/>
      <c r="P237" s="164"/>
    </row>
    <row r="238" spans="1:16" x14ac:dyDescent="0.2">
      <c r="A238" s="134" t="s">
        <v>749</v>
      </c>
      <c r="B238" s="134"/>
      <c r="C238" s="134" t="s">
        <v>547</v>
      </c>
      <c r="D238" s="134">
        <v>2</v>
      </c>
      <c r="E238" s="136">
        <f t="shared" ref="E238" si="202">SUM(F238:P238)</f>
        <v>1011804.6731000001</v>
      </c>
      <c r="F238" s="136">
        <f>47129*(B$5+1)*12</f>
        <v>605136.3600000001</v>
      </c>
      <c r="G238" s="136">
        <f t="shared" ref="G238" si="203">F238*0.22</f>
        <v>133129.99920000002</v>
      </c>
      <c r="H238" s="136">
        <f t="shared" ref="H238" si="204">3871*(B$6+1)*12</f>
        <v>49703.64</v>
      </c>
      <c r="I238" s="136">
        <f t="shared" ref="I238:I280" si="205">700*12</f>
        <v>8400</v>
      </c>
      <c r="J238" s="143">
        <v>1926</v>
      </c>
      <c r="K238" s="136">
        <f t="shared" ref="K238" si="206">12900*12</f>
        <v>154800</v>
      </c>
      <c r="L238" s="136">
        <v>93</v>
      </c>
      <c r="M238" s="136">
        <f t="shared" ref="M238" si="207">(N238+I238+K238+F238)*0.01</f>
        <v>8187.6439000000018</v>
      </c>
      <c r="N238" s="136">
        <f t="shared" ref="N238" si="208">F238/12</f>
        <v>50428.030000000006</v>
      </c>
      <c r="O238" s="136"/>
      <c r="P238" s="136"/>
    </row>
    <row r="239" spans="1:16" x14ac:dyDescent="0.2">
      <c r="A239" s="134" t="s">
        <v>399</v>
      </c>
      <c r="B239" s="134"/>
      <c r="C239" s="134" t="s">
        <v>289</v>
      </c>
      <c r="D239" s="134">
        <v>8</v>
      </c>
      <c r="E239" s="136">
        <f>SUM(F239:P239)</f>
        <v>424598.51050000009</v>
      </c>
      <c r="F239" s="136">
        <f>21595*(B$5+1)*12</f>
        <v>277279.80000000005</v>
      </c>
      <c r="G239" s="136">
        <f>F239*0.22</f>
        <v>61001.556000000011</v>
      </c>
      <c r="H239" s="136">
        <f t="shared" si="201"/>
        <v>49703.64</v>
      </c>
      <c r="I239" s="136">
        <f t="shared" si="205"/>
        <v>8400</v>
      </c>
      <c r="J239" s="143">
        <v>1926</v>
      </c>
      <c r="K239" s="136">
        <f>0*12</f>
        <v>0</v>
      </c>
      <c r="L239" s="136">
        <v>93</v>
      </c>
      <c r="M239" s="136">
        <f>(N239+I239+K239+F239)*0.01</f>
        <v>3087.8645000000006</v>
      </c>
      <c r="N239" s="136">
        <f>F239/12</f>
        <v>23106.650000000005</v>
      </c>
      <c r="O239" s="136"/>
      <c r="P239" s="136"/>
    </row>
    <row r="240" spans="1:16" x14ac:dyDescent="0.2">
      <c r="A240" s="134" t="s">
        <v>303</v>
      </c>
      <c r="B240" s="161"/>
      <c r="C240" s="134" t="s">
        <v>416</v>
      </c>
      <c r="D240" s="134">
        <v>8</v>
      </c>
      <c r="E240" s="136">
        <f>SUM(F240:P240)</f>
        <v>424598.51050000009</v>
      </c>
      <c r="F240" s="136">
        <f>21595*(B$5+1)*12</f>
        <v>277279.80000000005</v>
      </c>
      <c r="G240" s="136">
        <f>F240*0.22</f>
        <v>61001.556000000011</v>
      </c>
      <c r="H240" s="136">
        <f t="shared" ref="H240" si="209">3871*(B$6+1)*12</f>
        <v>49703.64</v>
      </c>
      <c r="I240" s="136">
        <f t="shared" ref="I240" si="210">700*12</f>
        <v>8400</v>
      </c>
      <c r="J240" s="143">
        <v>1926</v>
      </c>
      <c r="K240" s="136">
        <v>0</v>
      </c>
      <c r="L240" s="136">
        <v>93</v>
      </c>
      <c r="M240" s="136">
        <f>(N240+I240+K240+F240)*0.01</f>
        <v>3087.8645000000006</v>
      </c>
      <c r="N240" s="136">
        <f>F240/12</f>
        <v>23106.650000000005</v>
      </c>
      <c r="O240" s="136"/>
      <c r="P240" s="136"/>
    </row>
    <row r="241" spans="1:16" x14ac:dyDescent="0.2">
      <c r="A241" s="134"/>
      <c r="B241" s="134"/>
      <c r="C241" s="134"/>
      <c r="D241" s="134"/>
      <c r="E241" s="136"/>
      <c r="F241" s="136"/>
      <c r="G241" s="136"/>
      <c r="H241" s="136"/>
      <c r="I241" s="136"/>
      <c r="J241" s="143"/>
      <c r="K241" s="136"/>
      <c r="L241" s="136"/>
      <c r="M241" s="136"/>
      <c r="N241" s="136"/>
      <c r="O241" s="136"/>
      <c r="P241" s="136"/>
    </row>
    <row r="242" spans="1:16" x14ac:dyDescent="0.2">
      <c r="A242" s="133" t="s">
        <v>750</v>
      </c>
      <c r="B242" s="134"/>
      <c r="C242" s="134"/>
      <c r="D242" s="134"/>
      <c r="E242" s="136"/>
      <c r="F242" s="136"/>
      <c r="G242" s="136"/>
      <c r="H242" s="136"/>
      <c r="I242" s="136"/>
      <c r="J242" s="143"/>
      <c r="K242" s="136"/>
      <c r="L242" s="136"/>
      <c r="M242" s="136"/>
      <c r="N242" s="136"/>
      <c r="O242" s="136"/>
      <c r="P242" s="136"/>
    </row>
    <row r="243" spans="1:16" x14ac:dyDescent="0.2">
      <c r="A243" s="134"/>
      <c r="B243" s="134"/>
      <c r="C243" s="134"/>
      <c r="D243" s="134"/>
      <c r="E243" s="136"/>
      <c r="F243" s="136"/>
      <c r="G243" s="136"/>
      <c r="H243" s="136"/>
      <c r="I243" s="136"/>
      <c r="J243" s="143"/>
      <c r="K243" s="136"/>
      <c r="L243" s="136"/>
      <c r="M243" s="136"/>
      <c r="N243" s="136"/>
      <c r="O243" s="136"/>
      <c r="P243" s="136"/>
    </row>
    <row r="244" spans="1:16" x14ac:dyDescent="0.2">
      <c r="A244" s="154" t="s">
        <v>550</v>
      </c>
      <c r="B244" s="145"/>
      <c r="C244" s="145" t="s">
        <v>34</v>
      </c>
      <c r="D244" s="145" t="s">
        <v>551</v>
      </c>
      <c r="E244" s="146">
        <f t="shared" ref="E244" si="211">SUM(F244:P244)</f>
        <v>0</v>
      </c>
      <c r="F244" s="146"/>
      <c r="G244" s="146"/>
      <c r="H244" s="146"/>
      <c r="I244" s="146"/>
      <c r="J244" s="147"/>
      <c r="K244" s="146"/>
      <c r="L244" s="146"/>
      <c r="M244" s="146"/>
      <c r="N244" s="146"/>
      <c r="O244" s="146"/>
      <c r="P244" s="168"/>
    </row>
    <row r="245" spans="1:16" x14ac:dyDescent="0.2">
      <c r="A245" s="134" t="s">
        <v>461</v>
      </c>
      <c r="B245" s="161"/>
      <c r="C245" s="134" t="s">
        <v>463</v>
      </c>
      <c r="D245" s="134">
        <v>5</v>
      </c>
      <c r="E245" s="136">
        <f t="shared" ref="E245:E258" si="212">SUM(F245:P245)</f>
        <v>718949.3861</v>
      </c>
      <c r="F245" s="136">
        <f>31799*(B$5+1)*12</f>
        <v>408299.16000000003</v>
      </c>
      <c r="G245" s="136">
        <f t="shared" ref="G245:G256" si="213">F245*0.22</f>
        <v>89825.815200000012</v>
      </c>
      <c r="H245" s="136">
        <f t="shared" si="201"/>
        <v>49703.64</v>
      </c>
      <c r="I245" s="136">
        <f t="shared" si="205"/>
        <v>8400</v>
      </c>
      <c r="J245" s="143">
        <v>1926</v>
      </c>
      <c r="K245" s="136">
        <f t="shared" ref="K245:K279" si="214">10080*12</f>
        <v>120960</v>
      </c>
      <c r="L245" s="136">
        <v>93</v>
      </c>
      <c r="M245" s="136">
        <f t="shared" ref="M245:M256" si="215">(N245+I245+K245+F245)*0.01</f>
        <v>5716.8409000000011</v>
      </c>
      <c r="N245" s="136">
        <f t="shared" ref="N245:N256" si="216">F245/12</f>
        <v>34024.93</v>
      </c>
      <c r="O245" s="136"/>
      <c r="P245" s="136"/>
    </row>
    <row r="246" spans="1:16" x14ac:dyDescent="0.2">
      <c r="A246" s="134" t="s">
        <v>461</v>
      </c>
      <c r="B246" s="161"/>
      <c r="C246" s="134" t="s">
        <v>464</v>
      </c>
      <c r="D246" s="134">
        <v>5</v>
      </c>
      <c r="E246" s="136">
        <f t="shared" si="212"/>
        <v>718949.3861</v>
      </c>
      <c r="F246" s="136">
        <f>31799*(B$5+1)*12</f>
        <v>408299.16000000003</v>
      </c>
      <c r="G246" s="136">
        <f t="shared" si="213"/>
        <v>89825.815200000012</v>
      </c>
      <c r="H246" s="136">
        <f t="shared" si="201"/>
        <v>49703.64</v>
      </c>
      <c r="I246" s="136">
        <f t="shared" si="205"/>
        <v>8400</v>
      </c>
      <c r="J246" s="143">
        <v>1926</v>
      </c>
      <c r="K246" s="136">
        <f t="shared" si="214"/>
        <v>120960</v>
      </c>
      <c r="L246" s="136">
        <v>93</v>
      </c>
      <c r="M246" s="136">
        <f t="shared" si="215"/>
        <v>5716.8409000000011</v>
      </c>
      <c r="N246" s="136">
        <f t="shared" si="216"/>
        <v>34024.93</v>
      </c>
      <c r="O246" s="136"/>
      <c r="P246" s="136"/>
    </row>
    <row r="247" spans="1:16" x14ac:dyDescent="0.2">
      <c r="A247" s="134" t="s">
        <v>461</v>
      </c>
      <c r="B247" s="161"/>
      <c r="C247" s="134" t="s">
        <v>462</v>
      </c>
      <c r="D247" s="134">
        <v>5</v>
      </c>
      <c r="E247" s="136">
        <f>SUM(F247:P247)</f>
        <v>718949.3861</v>
      </c>
      <c r="F247" s="136">
        <f>31799*(B$5+1)*12</f>
        <v>408299.16000000003</v>
      </c>
      <c r="G247" s="136">
        <f>F247*0.22</f>
        <v>89825.815200000012</v>
      </c>
      <c r="H247" s="136">
        <f t="shared" ref="H247" si="217">3871*(B$6+1)*12</f>
        <v>49703.64</v>
      </c>
      <c r="I247" s="136">
        <f t="shared" si="205"/>
        <v>8400</v>
      </c>
      <c r="J247" s="143">
        <v>1926</v>
      </c>
      <c r="K247" s="136">
        <f t="shared" si="214"/>
        <v>120960</v>
      </c>
      <c r="L247" s="136">
        <v>93</v>
      </c>
      <c r="M247" s="136">
        <f>(N247+I247+K247+F247)*0.01</f>
        <v>5716.8409000000011</v>
      </c>
      <c r="N247" s="136">
        <f>F247/12</f>
        <v>34024.93</v>
      </c>
      <c r="O247" s="136"/>
      <c r="P247" s="136"/>
    </row>
    <row r="248" spans="1:16" x14ac:dyDescent="0.2">
      <c r="A248" s="145" t="s">
        <v>461</v>
      </c>
      <c r="B248" s="145"/>
      <c r="C248" s="145" t="s">
        <v>34</v>
      </c>
      <c r="D248" s="145">
        <v>5</v>
      </c>
      <c r="E248" s="146">
        <f>SUM(F248:P248)</f>
        <v>0</v>
      </c>
      <c r="F248" s="146"/>
      <c r="G248" s="146"/>
      <c r="H248" s="146"/>
      <c r="I248" s="146"/>
      <c r="J248" s="147"/>
      <c r="K248" s="146"/>
      <c r="L248" s="146"/>
      <c r="M248" s="146"/>
      <c r="N248" s="146"/>
      <c r="O248" s="136"/>
      <c r="P248" s="136"/>
    </row>
    <row r="249" spans="1:16" x14ac:dyDescent="0.2">
      <c r="A249" s="145" t="s">
        <v>461</v>
      </c>
      <c r="B249" s="145"/>
      <c r="C249" s="145" t="s">
        <v>34</v>
      </c>
      <c r="D249" s="145">
        <v>5</v>
      </c>
      <c r="E249" s="136">
        <f>SUM(F249:P249)</f>
        <v>718949.3861</v>
      </c>
      <c r="F249" s="136">
        <f>31799*(B$5+1)*12</f>
        <v>408299.16000000003</v>
      </c>
      <c r="G249" s="136">
        <f>F249*0.22</f>
        <v>89825.815200000012</v>
      </c>
      <c r="H249" s="136">
        <f t="shared" ref="H249" si="218">3871*(B$6+1)*12</f>
        <v>49703.64</v>
      </c>
      <c r="I249" s="136">
        <f t="shared" si="205"/>
        <v>8400</v>
      </c>
      <c r="J249" s="143">
        <v>1926</v>
      </c>
      <c r="K249" s="136">
        <f t="shared" si="214"/>
        <v>120960</v>
      </c>
      <c r="L249" s="136">
        <v>93</v>
      </c>
      <c r="M249" s="136">
        <f>(N249+I249+K249+F249)*0.01</f>
        <v>5716.8409000000011</v>
      </c>
      <c r="N249" s="136">
        <f>F249/12</f>
        <v>34024.93</v>
      </c>
      <c r="O249" s="136"/>
      <c r="P249" s="136"/>
    </row>
    <row r="250" spans="1:16" x14ac:dyDescent="0.2">
      <c r="A250" s="169" t="s">
        <v>461</v>
      </c>
      <c r="B250" s="170"/>
      <c r="C250" s="169" t="s">
        <v>34</v>
      </c>
      <c r="D250" s="169">
        <v>5</v>
      </c>
      <c r="E250" s="171">
        <f t="shared" ref="E250" si="219">SUM(F250:P250)</f>
        <v>718949.3861</v>
      </c>
      <c r="F250" s="171">
        <f t="shared" ref="F250" si="220">31799*(B$5+1)*12</f>
        <v>408299.16000000003</v>
      </c>
      <c r="G250" s="171">
        <f t="shared" ref="G250" si="221">F250*0.22</f>
        <v>89825.815200000012</v>
      </c>
      <c r="H250" s="171">
        <f t="shared" ref="H250" si="222">3871*(B$6+1)*12</f>
        <v>49703.64</v>
      </c>
      <c r="I250" s="171">
        <f t="shared" si="205"/>
        <v>8400</v>
      </c>
      <c r="J250" s="172">
        <v>1926</v>
      </c>
      <c r="K250" s="171">
        <f t="shared" si="214"/>
        <v>120960</v>
      </c>
      <c r="L250" s="171">
        <v>93</v>
      </c>
      <c r="M250" s="171">
        <f t="shared" ref="M250" si="223">(N250+I250+K250+F250)*0.01</f>
        <v>5716.8409000000011</v>
      </c>
      <c r="N250" s="171">
        <f t="shared" ref="N250" si="224">F250/12</f>
        <v>34024.93</v>
      </c>
      <c r="O250" s="136"/>
      <c r="P250" s="136"/>
    </row>
    <row r="251" spans="1:16" x14ac:dyDescent="0.2">
      <c r="A251" s="134" t="s">
        <v>513</v>
      </c>
      <c r="B251" s="161"/>
      <c r="C251" s="134" t="s">
        <v>81</v>
      </c>
      <c r="D251" s="134">
        <v>6</v>
      </c>
      <c r="E251" s="136">
        <f t="shared" si="212"/>
        <v>656499.08219999995</v>
      </c>
      <c r="F251" s="136">
        <f t="shared" ref="F251:F256" si="225">28098*(B$5+1)*12</f>
        <v>360778.32</v>
      </c>
      <c r="G251" s="136">
        <f t="shared" si="213"/>
        <v>79371.2304</v>
      </c>
      <c r="H251" s="136">
        <f t="shared" si="201"/>
        <v>49703.64</v>
      </c>
      <c r="I251" s="136">
        <f t="shared" si="205"/>
        <v>8400</v>
      </c>
      <c r="J251" s="143">
        <v>1926</v>
      </c>
      <c r="K251" s="136">
        <f t="shared" si="214"/>
        <v>120960</v>
      </c>
      <c r="L251" s="136">
        <v>93</v>
      </c>
      <c r="M251" s="136">
        <f t="shared" si="215"/>
        <v>5202.0317999999997</v>
      </c>
      <c r="N251" s="136">
        <f t="shared" si="216"/>
        <v>30064.86</v>
      </c>
      <c r="O251" s="136"/>
      <c r="P251" s="136"/>
    </row>
    <row r="252" spans="1:16" x14ac:dyDescent="0.2">
      <c r="A252" s="134" t="s">
        <v>516</v>
      </c>
      <c r="B252" s="161"/>
      <c r="C252" s="134" t="s">
        <v>494</v>
      </c>
      <c r="D252" s="134">
        <v>6</v>
      </c>
      <c r="E252" s="136">
        <f t="shared" si="212"/>
        <v>656499.08219999995</v>
      </c>
      <c r="F252" s="136">
        <f t="shared" si="225"/>
        <v>360778.32</v>
      </c>
      <c r="G252" s="136">
        <f t="shared" si="213"/>
        <v>79371.2304</v>
      </c>
      <c r="H252" s="136">
        <f t="shared" si="201"/>
        <v>49703.64</v>
      </c>
      <c r="I252" s="136">
        <f t="shared" si="205"/>
        <v>8400</v>
      </c>
      <c r="J252" s="143">
        <v>1926</v>
      </c>
      <c r="K252" s="136">
        <f t="shared" si="214"/>
        <v>120960</v>
      </c>
      <c r="L252" s="136">
        <v>93</v>
      </c>
      <c r="M252" s="136">
        <f t="shared" si="215"/>
        <v>5202.0317999999997</v>
      </c>
      <c r="N252" s="136">
        <f t="shared" si="216"/>
        <v>30064.86</v>
      </c>
      <c r="O252" s="136"/>
      <c r="P252" s="136"/>
    </row>
    <row r="253" spans="1:16" x14ac:dyDescent="0.2">
      <c r="A253" s="134" t="s">
        <v>511</v>
      </c>
      <c r="B253" s="161"/>
      <c r="C253" s="134" t="s">
        <v>80</v>
      </c>
      <c r="D253" s="134">
        <v>6</v>
      </c>
      <c r="E253" s="136">
        <f t="shared" si="212"/>
        <v>656499.08219999995</v>
      </c>
      <c r="F253" s="136">
        <f t="shared" si="225"/>
        <v>360778.32</v>
      </c>
      <c r="G253" s="136">
        <f t="shared" si="213"/>
        <v>79371.2304</v>
      </c>
      <c r="H253" s="136">
        <f t="shared" si="201"/>
        <v>49703.64</v>
      </c>
      <c r="I253" s="136">
        <f t="shared" si="205"/>
        <v>8400</v>
      </c>
      <c r="J253" s="143">
        <v>1926</v>
      </c>
      <c r="K253" s="136">
        <f t="shared" si="214"/>
        <v>120960</v>
      </c>
      <c r="L253" s="136">
        <v>93</v>
      </c>
      <c r="M253" s="136">
        <f t="shared" si="215"/>
        <v>5202.0317999999997</v>
      </c>
      <c r="N253" s="136">
        <f t="shared" si="216"/>
        <v>30064.86</v>
      </c>
      <c r="O253" s="136"/>
      <c r="P253" s="136"/>
    </row>
    <row r="254" spans="1:16" x14ac:dyDescent="0.2">
      <c r="A254" s="134" t="s">
        <v>512</v>
      </c>
      <c r="B254" s="161"/>
      <c r="C254" s="134" t="s">
        <v>496</v>
      </c>
      <c r="D254" s="134">
        <v>6</v>
      </c>
      <c r="E254" s="136">
        <f t="shared" si="212"/>
        <v>656499.08219999995</v>
      </c>
      <c r="F254" s="136">
        <f t="shared" si="225"/>
        <v>360778.32</v>
      </c>
      <c r="G254" s="136">
        <f t="shared" si="213"/>
        <v>79371.2304</v>
      </c>
      <c r="H254" s="136">
        <f t="shared" si="201"/>
        <v>49703.64</v>
      </c>
      <c r="I254" s="136">
        <f t="shared" si="205"/>
        <v>8400</v>
      </c>
      <c r="J254" s="143">
        <v>1926</v>
      </c>
      <c r="K254" s="136">
        <f t="shared" si="214"/>
        <v>120960</v>
      </c>
      <c r="L254" s="136">
        <v>93</v>
      </c>
      <c r="M254" s="136">
        <f t="shared" si="215"/>
        <v>5202.0317999999997</v>
      </c>
      <c r="N254" s="136">
        <f t="shared" si="216"/>
        <v>30064.86</v>
      </c>
      <c r="O254" s="136"/>
      <c r="P254" s="136"/>
    </row>
    <row r="255" spans="1:16" x14ac:dyDescent="0.2">
      <c r="A255" s="134" t="s">
        <v>515</v>
      </c>
      <c r="B255" s="161"/>
      <c r="C255" s="134" t="s">
        <v>264</v>
      </c>
      <c r="D255" s="134">
        <v>6</v>
      </c>
      <c r="E255" s="136">
        <f t="shared" si="212"/>
        <v>656499.08219999995</v>
      </c>
      <c r="F255" s="136">
        <f t="shared" si="225"/>
        <v>360778.32</v>
      </c>
      <c r="G255" s="136">
        <f t="shared" si="213"/>
        <v>79371.2304</v>
      </c>
      <c r="H255" s="136">
        <f t="shared" si="201"/>
        <v>49703.64</v>
      </c>
      <c r="I255" s="136">
        <f t="shared" si="205"/>
        <v>8400</v>
      </c>
      <c r="J255" s="143">
        <v>1926</v>
      </c>
      <c r="K255" s="136">
        <f t="shared" si="214"/>
        <v>120960</v>
      </c>
      <c r="L255" s="136">
        <v>93</v>
      </c>
      <c r="M255" s="136">
        <f t="shared" si="215"/>
        <v>5202.0317999999997</v>
      </c>
      <c r="N255" s="136">
        <f t="shared" si="216"/>
        <v>30064.86</v>
      </c>
      <c r="O255" s="136"/>
      <c r="P255" s="136"/>
    </row>
    <row r="256" spans="1:16" x14ac:dyDescent="0.2">
      <c r="A256" s="134" t="s">
        <v>514</v>
      </c>
      <c r="B256" s="161"/>
      <c r="C256" s="134" t="s">
        <v>495</v>
      </c>
      <c r="D256" s="134">
        <v>6</v>
      </c>
      <c r="E256" s="136">
        <f t="shared" si="212"/>
        <v>656499.08219999995</v>
      </c>
      <c r="F256" s="136">
        <f t="shared" si="225"/>
        <v>360778.32</v>
      </c>
      <c r="G256" s="136">
        <f t="shared" si="213"/>
        <v>79371.2304</v>
      </c>
      <c r="H256" s="136">
        <f t="shared" si="201"/>
        <v>49703.64</v>
      </c>
      <c r="I256" s="136">
        <f t="shared" si="205"/>
        <v>8400</v>
      </c>
      <c r="J256" s="143">
        <v>1926</v>
      </c>
      <c r="K256" s="136">
        <f t="shared" si="214"/>
        <v>120960</v>
      </c>
      <c r="L256" s="136">
        <v>93</v>
      </c>
      <c r="M256" s="136">
        <f t="shared" si="215"/>
        <v>5202.0317999999997</v>
      </c>
      <c r="N256" s="136">
        <f t="shared" si="216"/>
        <v>30064.86</v>
      </c>
      <c r="O256" s="136"/>
      <c r="P256" s="136"/>
    </row>
    <row r="257" spans="1:16" x14ac:dyDescent="0.2">
      <c r="A257" s="134" t="s">
        <v>520</v>
      </c>
      <c r="B257" s="161"/>
      <c r="C257" s="134" t="s">
        <v>34</v>
      </c>
      <c r="D257" s="134"/>
      <c r="E257" s="136">
        <f t="shared" si="212"/>
        <v>118256.40000000001</v>
      </c>
      <c r="F257" s="136">
        <f>9210*(B$5+1)*12</f>
        <v>118256.40000000001</v>
      </c>
      <c r="G257" s="136"/>
      <c r="H257" s="136"/>
      <c r="I257" s="136"/>
      <c r="J257" s="143"/>
      <c r="K257" s="136"/>
      <c r="L257" s="136"/>
      <c r="M257" s="136"/>
      <c r="N257" s="136"/>
      <c r="O257" s="136"/>
      <c r="P257" s="136"/>
    </row>
    <row r="258" spans="1:16" x14ac:dyDescent="0.2">
      <c r="A258" s="134" t="s">
        <v>520</v>
      </c>
      <c r="B258" s="161"/>
      <c r="C258" s="134" t="s">
        <v>34</v>
      </c>
      <c r="D258" s="134"/>
      <c r="E258" s="136">
        <f t="shared" si="212"/>
        <v>118256.40000000001</v>
      </c>
      <c r="F258" s="136">
        <f>9210*(B$5+1)*12</f>
        <v>118256.40000000001</v>
      </c>
      <c r="G258" s="136"/>
      <c r="H258" s="136"/>
      <c r="I258" s="136"/>
      <c r="J258" s="143"/>
      <c r="K258" s="136"/>
      <c r="L258" s="136"/>
      <c r="M258" s="136"/>
      <c r="N258" s="136"/>
      <c r="O258" s="136"/>
      <c r="P258" s="136"/>
    </row>
    <row r="259" spans="1:16" x14ac:dyDescent="0.2">
      <c r="A259" s="169" t="s">
        <v>461</v>
      </c>
      <c r="B259" s="170"/>
      <c r="C259" s="169" t="s">
        <v>34</v>
      </c>
      <c r="D259" s="169">
        <v>5</v>
      </c>
      <c r="E259" s="171">
        <f t="shared" ref="E259:E263" si="226">SUM(F259:P259)</f>
        <v>718949.3861</v>
      </c>
      <c r="F259" s="171">
        <f t="shared" ref="F259:F263" si="227">31799*(B$5+1)*12</f>
        <v>408299.16000000003</v>
      </c>
      <c r="G259" s="171">
        <f t="shared" ref="G259:G263" si="228">F259*0.22</f>
        <v>89825.815200000012</v>
      </c>
      <c r="H259" s="171">
        <f t="shared" ref="H259:H263" si="229">3871*(B$6+1)*12</f>
        <v>49703.64</v>
      </c>
      <c r="I259" s="171">
        <f t="shared" si="205"/>
        <v>8400</v>
      </c>
      <c r="J259" s="172">
        <v>1926</v>
      </c>
      <c r="K259" s="171">
        <f t="shared" si="214"/>
        <v>120960</v>
      </c>
      <c r="L259" s="171">
        <v>93</v>
      </c>
      <c r="M259" s="171">
        <f t="shared" ref="M259:M263" si="230">(N259+I259+K259+F259)*0.01</f>
        <v>5716.8409000000011</v>
      </c>
      <c r="N259" s="171">
        <f t="shared" ref="N259:N263" si="231">F259/12</f>
        <v>34024.93</v>
      </c>
      <c r="O259" s="136"/>
      <c r="P259" s="136"/>
    </row>
    <row r="260" spans="1:16" x14ac:dyDescent="0.2">
      <c r="A260" s="169" t="s">
        <v>461</v>
      </c>
      <c r="B260" s="170"/>
      <c r="C260" s="169" t="s">
        <v>34</v>
      </c>
      <c r="D260" s="169">
        <v>5</v>
      </c>
      <c r="E260" s="171">
        <f t="shared" si="226"/>
        <v>718949.3861</v>
      </c>
      <c r="F260" s="171">
        <f t="shared" si="227"/>
        <v>408299.16000000003</v>
      </c>
      <c r="G260" s="171">
        <f t="shared" si="228"/>
        <v>89825.815200000012</v>
      </c>
      <c r="H260" s="171">
        <f t="shared" si="229"/>
        <v>49703.64</v>
      </c>
      <c r="I260" s="171">
        <f t="shared" si="205"/>
        <v>8400</v>
      </c>
      <c r="J260" s="172">
        <v>1926</v>
      </c>
      <c r="K260" s="171">
        <f t="shared" si="214"/>
        <v>120960</v>
      </c>
      <c r="L260" s="171">
        <v>93</v>
      </c>
      <c r="M260" s="171">
        <f t="shared" si="230"/>
        <v>5716.8409000000011</v>
      </c>
      <c r="N260" s="171">
        <f t="shared" si="231"/>
        <v>34024.93</v>
      </c>
      <c r="O260" s="136"/>
      <c r="P260" s="136"/>
    </row>
    <row r="261" spans="1:16" x14ac:dyDescent="0.2">
      <c r="A261" s="169" t="s">
        <v>461</v>
      </c>
      <c r="B261" s="170"/>
      <c r="C261" s="169" t="s">
        <v>34</v>
      </c>
      <c r="D261" s="169">
        <v>5</v>
      </c>
      <c r="E261" s="171">
        <f t="shared" si="226"/>
        <v>718949.3861</v>
      </c>
      <c r="F261" s="171">
        <f t="shared" si="227"/>
        <v>408299.16000000003</v>
      </c>
      <c r="G261" s="171">
        <f t="shared" si="228"/>
        <v>89825.815200000012</v>
      </c>
      <c r="H261" s="171">
        <f t="shared" si="229"/>
        <v>49703.64</v>
      </c>
      <c r="I261" s="171">
        <f t="shared" si="205"/>
        <v>8400</v>
      </c>
      <c r="J261" s="172">
        <v>1926</v>
      </c>
      <c r="K261" s="171">
        <f t="shared" si="214"/>
        <v>120960</v>
      </c>
      <c r="L261" s="171">
        <v>93</v>
      </c>
      <c r="M261" s="171">
        <f t="shared" si="230"/>
        <v>5716.8409000000011</v>
      </c>
      <c r="N261" s="171">
        <f t="shared" si="231"/>
        <v>34024.93</v>
      </c>
      <c r="O261" s="136"/>
      <c r="P261" s="136"/>
    </row>
    <row r="262" spans="1:16" x14ac:dyDescent="0.2">
      <c r="A262" s="169" t="s">
        <v>461</v>
      </c>
      <c r="B262" s="170"/>
      <c r="C262" s="169" t="s">
        <v>34</v>
      </c>
      <c r="D262" s="169">
        <v>5</v>
      </c>
      <c r="E262" s="171">
        <f t="shared" si="226"/>
        <v>718949.3861</v>
      </c>
      <c r="F262" s="171">
        <f t="shared" si="227"/>
        <v>408299.16000000003</v>
      </c>
      <c r="G262" s="171">
        <f t="shared" si="228"/>
        <v>89825.815200000012</v>
      </c>
      <c r="H262" s="171">
        <f t="shared" si="229"/>
        <v>49703.64</v>
      </c>
      <c r="I262" s="171">
        <f t="shared" si="205"/>
        <v>8400</v>
      </c>
      <c r="J262" s="172">
        <v>1926</v>
      </c>
      <c r="K262" s="171">
        <f t="shared" si="214"/>
        <v>120960</v>
      </c>
      <c r="L262" s="171">
        <v>93</v>
      </c>
      <c r="M262" s="171">
        <f t="shared" si="230"/>
        <v>5716.8409000000011</v>
      </c>
      <c r="N262" s="171">
        <f t="shared" si="231"/>
        <v>34024.93</v>
      </c>
      <c r="O262" s="136"/>
      <c r="P262" s="136"/>
    </row>
    <row r="263" spans="1:16" x14ac:dyDescent="0.2">
      <c r="A263" s="169" t="s">
        <v>461</v>
      </c>
      <c r="B263" s="170"/>
      <c r="C263" s="169" t="s">
        <v>34</v>
      </c>
      <c r="D263" s="169">
        <v>5</v>
      </c>
      <c r="E263" s="171">
        <f t="shared" si="226"/>
        <v>718949.3861</v>
      </c>
      <c r="F263" s="171">
        <f t="shared" si="227"/>
        <v>408299.16000000003</v>
      </c>
      <c r="G263" s="171">
        <f t="shared" si="228"/>
        <v>89825.815200000012</v>
      </c>
      <c r="H263" s="171">
        <f t="shared" si="229"/>
        <v>49703.64</v>
      </c>
      <c r="I263" s="171">
        <f t="shared" si="205"/>
        <v>8400</v>
      </c>
      <c r="J263" s="172">
        <v>1926</v>
      </c>
      <c r="K263" s="171">
        <f t="shared" si="214"/>
        <v>120960</v>
      </c>
      <c r="L263" s="171">
        <v>93</v>
      </c>
      <c r="M263" s="171">
        <f t="shared" si="230"/>
        <v>5716.8409000000011</v>
      </c>
      <c r="N263" s="171">
        <f t="shared" si="231"/>
        <v>34024.93</v>
      </c>
      <c r="O263" s="136"/>
      <c r="P263" s="136"/>
    </row>
    <row r="264" spans="1:16" x14ac:dyDescent="0.2">
      <c r="A264" s="134" t="s">
        <v>481</v>
      </c>
      <c r="B264" s="161"/>
      <c r="C264" s="134" t="s">
        <v>546</v>
      </c>
      <c r="D264" s="134"/>
      <c r="E264" s="136">
        <f>SUM(F264:P264)</f>
        <v>118256.40000000001</v>
      </c>
      <c r="F264" s="136">
        <f>9210*(B$5+1)*12</f>
        <v>118256.40000000001</v>
      </c>
      <c r="G264" s="171"/>
      <c r="H264" s="171"/>
      <c r="I264" s="171"/>
      <c r="J264" s="172"/>
      <c r="K264" s="171"/>
      <c r="L264" s="171"/>
      <c r="M264" s="171"/>
      <c r="N264" s="171"/>
      <c r="O264" s="136"/>
      <c r="P264" s="136"/>
    </row>
    <row r="265" spans="1:16" x14ac:dyDescent="0.2">
      <c r="A265" s="134" t="s">
        <v>481</v>
      </c>
      <c r="B265" s="161"/>
      <c r="C265" s="134" t="s">
        <v>545</v>
      </c>
      <c r="D265" s="134"/>
      <c r="E265" s="136">
        <f>SUM(F265:P265)</f>
        <v>118256.40000000001</v>
      </c>
      <c r="F265" s="136">
        <f>9210*(B$5+1)*12</f>
        <v>118256.40000000001</v>
      </c>
      <c r="G265" s="171"/>
      <c r="H265" s="171"/>
      <c r="I265" s="171"/>
      <c r="J265" s="172"/>
      <c r="K265" s="171"/>
      <c r="L265" s="171"/>
      <c r="M265" s="171"/>
      <c r="N265" s="171"/>
      <c r="O265" s="136"/>
      <c r="P265" s="136"/>
    </row>
    <row r="266" spans="1:16" x14ac:dyDescent="0.2">
      <c r="A266" s="134"/>
      <c r="B266" s="161"/>
      <c r="C266" s="134"/>
      <c r="D266" s="134"/>
      <c r="E266" s="136"/>
      <c r="F266" s="136"/>
      <c r="G266" s="136"/>
      <c r="H266" s="136"/>
      <c r="I266" s="136"/>
      <c r="J266" s="143"/>
      <c r="K266" s="136"/>
      <c r="L266" s="136"/>
      <c r="M266" s="136"/>
      <c r="N266" s="136"/>
      <c r="O266" s="136"/>
      <c r="P266" s="136"/>
    </row>
    <row r="267" spans="1:16" x14ac:dyDescent="0.2">
      <c r="A267" s="133" t="s">
        <v>574</v>
      </c>
      <c r="B267" s="161"/>
      <c r="C267" s="134"/>
      <c r="D267" s="134"/>
      <c r="E267" s="136"/>
      <c r="F267" s="136"/>
      <c r="G267" s="136"/>
      <c r="H267" s="136"/>
      <c r="I267" s="136"/>
      <c r="J267" s="143"/>
      <c r="K267" s="136"/>
      <c r="L267" s="136"/>
      <c r="M267" s="136"/>
      <c r="N267" s="136"/>
      <c r="O267" s="136"/>
      <c r="P267" s="136"/>
    </row>
    <row r="268" spans="1:16" x14ac:dyDescent="0.2">
      <c r="A268" s="134"/>
      <c r="B268" s="161"/>
      <c r="C268" s="134"/>
      <c r="D268" s="134"/>
      <c r="E268" s="136"/>
      <c r="F268" s="136"/>
      <c r="G268" s="136"/>
      <c r="H268" s="136"/>
      <c r="I268" s="136"/>
      <c r="J268" s="143"/>
      <c r="K268" s="136"/>
      <c r="L268" s="136"/>
      <c r="M268" s="136"/>
      <c r="N268" s="136"/>
      <c r="O268" s="136"/>
      <c r="P268" s="136"/>
    </row>
    <row r="269" spans="1:16" x14ac:dyDescent="0.2">
      <c r="A269" s="154" t="s">
        <v>552</v>
      </c>
      <c r="B269" s="145"/>
      <c r="C269" s="145" t="s">
        <v>34</v>
      </c>
      <c r="D269" s="145" t="s">
        <v>551</v>
      </c>
      <c r="E269" s="146">
        <f t="shared" ref="E269:E285" si="232">SUM(F269:P269)</f>
        <v>0</v>
      </c>
      <c r="F269" s="146"/>
      <c r="G269" s="146"/>
      <c r="H269" s="146"/>
      <c r="I269" s="146"/>
      <c r="J269" s="147"/>
      <c r="K269" s="146"/>
      <c r="L269" s="146"/>
      <c r="M269" s="146"/>
      <c r="N269" s="146"/>
      <c r="O269" s="146"/>
      <c r="P269" s="168"/>
    </row>
    <row r="270" spans="1:16" x14ac:dyDescent="0.2">
      <c r="A270" s="134" t="s">
        <v>751</v>
      </c>
      <c r="B270" s="134"/>
      <c r="C270" s="134" t="s">
        <v>65</v>
      </c>
      <c r="D270" s="134">
        <v>5</v>
      </c>
      <c r="E270" s="136">
        <f>SUM(F270:P270)</f>
        <v>722206.04879999999</v>
      </c>
      <c r="F270" s="136">
        <f>31992*(B$5+1)*12</f>
        <v>410777.28</v>
      </c>
      <c r="G270" s="136">
        <f>F270*0.22</f>
        <v>90371.001600000003</v>
      </c>
      <c r="H270" s="136">
        <f t="shared" si="201"/>
        <v>49703.64</v>
      </c>
      <c r="I270" s="136">
        <f t="shared" si="205"/>
        <v>8400</v>
      </c>
      <c r="J270" s="143">
        <v>1926</v>
      </c>
      <c r="K270" s="136">
        <f>10080*12</f>
        <v>120960</v>
      </c>
      <c r="L270" s="136">
        <v>93</v>
      </c>
      <c r="M270" s="136">
        <f>(N270+I270+K270+F270)*0.01</f>
        <v>5743.6871999999994</v>
      </c>
      <c r="N270" s="136">
        <f>F270/12</f>
        <v>34231.440000000002</v>
      </c>
      <c r="O270" s="136"/>
      <c r="P270" s="164"/>
    </row>
    <row r="271" spans="1:16" s="148" customFormat="1" x14ac:dyDescent="0.2">
      <c r="A271" s="145" t="s">
        <v>752</v>
      </c>
      <c r="B271" s="145"/>
      <c r="C271" s="145" t="s">
        <v>34</v>
      </c>
      <c r="D271" s="145">
        <v>6</v>
      </c>
      <c r="E271" s="136">
        <f t="shared" ref="E271:E272" si="233">SUM(F271:P271)</f>
        <v>656499.08219999995</v>
      </c>
      <c r="F271" s="136">
        <f t="shared" ref="F271" si="234">28098*(B$5+1)*12</f>
        <v>360778.32</v>
      </c>
      <c r="G271" s="136">
        <f t="shared" ref="G271" si="235">F271*0.22</f>
        <v>79371.2304</v>
      </c>
      <c r="H271" s="136">
        <f t="shared" ref="H271" si="236">3871*(B$6+1)*12</f>
        <v>49703.64</v>
      </c>
      <c r="I271" s="136">
        <f t="shared" si="205"/>
        <v>8400</v>
      </c>
      <c r="J271" s="143">
        <v>1926</v>
      </c>
      <c r="K271" s="136">
        <f t="shared" si="214"/>
        <v>120960</v>
      </c>
      <c r="L271" s="136">
        <v>93</v>
      </c>
      <c r="M271" s="136">
        <f t="shared" ref="M271" si="237">(N271+I271+K271+F271)*0.01</f>
        <v>5202.0317999999997</v>
      </c>
      <c r="N271" s="136">
        <f t="shared" ref="N271" si="238">F271/12</f>
        <v>30064.86</v>
      </c>
      <c r="O271" s="146"/>
      <c r="P271" s="168"/>
    </row>
    <row r="272" spans="1:16" s="148" customFormat="1" x14ac:dyDescent="0.2">
      <c r="A272" s="145" t="s">
        <v>752</v>
      </c>
      <c r="B272" s="145"/>
      <c r="C272" s="145" t="s">
        <v>34</v>
      </c>
      <c r="D272" s="145">
        <v>6</v>
      </c>
      <c r="E272" s="136">
        <f t="shared" si="233"/>
        <v>0</v>
      </c>
      <c r="F272" s="136"/>
      <c r="G272" s="136"/>
      <c r="H272" s="136"/>
      <c r="I272" s="136"/>
      <c r="J272" s="143"/>
      <c r="K272" s="136"/>
      <c r="L272" s="136"/>
      <c r="M272" s="136"/>
      <c r="N272" s="136"/>
      <c r="O272" s="146"/>
      <c r="P272" s="168"/>
    </row>
    <row r="273" spans="1:16" s="148" customFormat="1" x14ac:dyDescent="0.2">
      <c r="A273" s="145" t="s">
        <v>753</v>
      </c>
      <c r="B273" s="145"/>
      <c r="C273" s="145" t="s">
        <v>34</v>
      </c>
      <c r="D273" s="145">
        <v>6</v>
      </c>
      <c r="E273" s="146"/>
      <c r="F273" s="146"/>
      <c r="G273" s="146"/>
      <c r="H273" s="146"/>
      <c r="I273" s="146"/>
      <c r="J273" s="147"/>
      <c r="K273" s="146"/>
      <c r="L273" s="146"/>
      <c r="M273" s="146"/>
      <c r="N273" s="146"/>
      <c r="O273" s="146"/>
      <c r="P273" s="168"/>
    </row>
    <row r="274" spans="1:16" s="148" customFormat="1" x14ac:dyDescent="0.2">
      <c r="A274" s="145" t="s">
        <v>753</v>
      </c>
      <c r="B274" s="145"/>
      <c r="C274" s="145" t="s">
        <v>34</v>
      </c>
      <c r="D274" s="145">
        <v>6</v>
      </c>
      <c r="E274" s="146"/>
      <c r="F274" s="146"/>
      <c r="G274" s="146"/>
      <c r="H274" s="146"/>
      <c r="I274" s="146"/>
      <c r="J274" s="147"/>
      <c r="K274" s="146"/>
      <c r="L274" s="146"/>
      <c r="M274" s="146"/>
      <c r="N274" s="146"/>
      <c r="O274" s="146"/>
      <c r="P274" s="168"/>
    </row>
    <row r="275" spans="1:16" s="148" customFormat="1" x14ac:dyDescent="0.2">
      <c r="A275" s="145"/>
      <c r="B275" s="145"/>
      <c r="C275" s="145"/>
      <c r="D275" s="145"/>
      <c r="E275" s="146"/>
      <c r="F275" s="146"/>
      <c r="G275" s="146"/>
      <c r="H275" s="146"/>
      <c r="I275" s="146"/>
      <c r="J275" s="147"/>
      <c r="K275" s="146"/>
      <c r="L275" s="146"/>
      <c r="M275" s="146"/>
      <c r="N275" s="146"/>
      <c r="O275" s="146"/>
      <c r="P275" s="168"/>
    </row>
    <row r="276" spans="1:16" x14ac:dyDescent="0.2">
      <c r="A276" s="166" t="s">
        <v>575</v>
      </c>
      <c r="B276" s="145"/>
      <c r="C276" s="145"/>
      <c r="D276" s="145"/>
      <c r="E276" s="146"/>
      <c r="F276" s="146"/>
      <c r="G276" s="146"/>
      <c r="H276" s="146"/>
      <c r="I276" s="146"/>
      <c r="J276" s="147"/>
      <c r="K276" s="146"/>
      <c r="L276" s="146"/>
      <c r="M276" s="146"/>
      <c r="N276" s="146"/>
      <c r="O276" s="146"/>
      <c r="P276" s="168"/>
    </row>
    <row r="277" spans="1:16" x14ac:dyDescent="0.2">
      <c r="A277" s="166"/>
      <c r="B277" s="145"/>
      <c r="C277" s="145"/>
      <c r="D277" s="145"/>
      <c r="E277" s="146"/>
      <c r="F277" s="146"/>
      <c r="G277" s="146"/>
      <c r="H277" s="146"/>
      <c r="I277" s="146"/>
      <c r="J277" s="147"/>
      <c r="K277" s="146"/>
      <c r="L277" s="146"/>
      <c r="M277" s="146"/>
      <c r="N277" s="146"/>
      <c r="O277" s="146"/>
      <c r="P277" s="168"/>
    </row>
    <row r="278" spans="1:16" x14ac:dyDescent="0.2">
      <c r="A278" s="154" t="s">
        <v>553</v>
      </c>
      <c r="B278" s="145"/>
      <c r="C278" s="145" t="s">
        <v>34</v>
      </c>
      <c r="D278" s="145" t="s">
        <v>551</v>
      </c>
      <c r="E278" s="146">
        <f>SUM(F278:P278)</f>
        <v>0</v>
      </c>
      <c r="F278" s="146"/>
      <c r="G278" s="146"/>
      <c r="H278" s="146"/>
      <c r="I278" s="146"/>
      <c r="J278" s="147"/>
      <c r="K278" s="146"/>
      <c r="L278" s="146"/>
      <c r="M278" s="146"/>
      <c r="N278" s="146"/>
      <c r="O278" s="146"/>
      <c r="P278" s="168"/>
    </row>
    <row r="279" spans="1:16" x14ac:dyDescent="0.2">
      <c r="A279" s="134" t="s">
        <v>747</v>
      </c>
      <c r="B279" s="161"/>
      <c r="C279" s="134" t="s">
        <v>79</v>
      </c>
      <c r="D279" s="134">
        <v>5</v>
      </c>
      <c r="E279" s="136">
        <f>SUM(F279:P279)</f>
        <v>722206.04879999999</v>
      </c>
      <c r="F279" s="136">
        <f>31992*(B$5+1)*12</f>
        <v>410777.28</v>
      </c>
      <c r="G279" s="136">
        <f>F279*0.22</f>
        <v>90371.001600000003</v>
      </c>
      <c r="H279" s="136">
        <f t="shared" si="201"/>
        <v>49703.64</v>
      </c>
      <c r="I279" s="136">
        <f t="shared" si="205"/>
        <v>8400</v>
      </c>
      <c r="J279" s="143">
        <v>1926</v>
      </c>
      <c r="K279" s="136">
        <f t="shared" si="214"/>
        <v>120960</v>
      </c>
      <c r="L279" s="136">
        <v>93</v>
      </c>
      <c r="M279" s="136">
        <f>(N279+I279+K279+F279)*0.01</f>
        <v>5743.6871999999994</v>
      </c>
      <c r="N279" s="136">
        <f>F279/12</f>
        <v>34231.440000000002</v>
      </c>
      <c r="O279" s="136"/>
      <c r="P279" s="136"/>
    </row>
    <row r="280" spans="1:16" x14ac:dyDescent="0.2">
      <c r="A280" s="145" t="s">
        <v>554</v>
      </c>
      <c r="B280" s="134"/>
      <c r="C280" s="145" t="s">
        <v>34</v>
      </c>
      <c r="D280" s="145">
        <v>7</v>
      </c>
      <c r="E280" s="136">
        <f t="shared" ref="E280" si="239">SUM(F280:P280)</f>
        <v>470090.54490000004</v>
      </c>
      <c r="F280" s="136">
        <f>24291*(B$5+1)*12</f>
        <v>311896.44000000006</v>
      </c>
      <c r="G280" s="136">
        <f t="shared" ref="G280" si="240">F280*0.22</f>
        <v>68617.216800000009</v>
      </c>
      <c r="H280" s="136">
        <f t="shared" si="201"/>
        <v>49703.64</v>
      </c>
      <c r="I280" s="136">
        <f t="shared" si="205"/>
        <v>8400</v>
      </c>
      <c r="J280" s="143">
        <v>1926</v>
      </c>
      <c r="K280" s="136">
        <f t="shared" ref="K280" si="241">0*12</f>
        <v>0</v>
      </c>
      <c r="L280" s="136">
        <v>93</v>
      </c>
      <c r="M280" s="136">
        <f t="shared" ref="M280" si="242">(N280+I280+K280+F280)*0.01</f>
        <v>3462.8781000000008</v>
      </c>
      <c r="N280" s="136">
        <f t="shared" ref="N280" si="243">F280/12</f>
        <v>25991.370000000006</v>
      </c>
      <c r="O280" s="136"/>
      <c r="P280" s="136"/>
    </row>
    <row r="281" spans="1:16" x14ac:dyDescent="0.2">
      <c r="A281" s="145" t="s">
        <v>554</v>
      </c>
      <c r="B281" s="134"/>
      <c r="C281" s="145" t="s">
        <v>34</v>
      </c>
      <c r="D281" s="145">
        <v>6</v>
      </c>
      <c r="E281" s="146">
        <f t="shared" ref="E281" si="244">SUM(F281:P281)</f>
        <v>0</v>
      </c>
      <c r="F281" s="146"/>
      <c r="G281" s="146"/>
      <c r="H281" s="146"/>
      <c r="I281" s="146"/>
      <c r="J281" s="147"/>
      <c r="K281" s="146"/>
      <c r="L281" s="146"/>
      <c r="M281" s="146"/>
      <c r="N281" s="146"/>
      <c r="O281" s="136"/>
      <c r="P281" s="164"/>
    </row>
    <row r="282" spans="1:16" x14ac:dyDescent="0.2">
      <c r="A282" s="134"/>
      <c r="B282" s="134"/>
      <c r="C282" s="134"/>
      <c r="D282" s="134"/>
      <c r="E282" s="136"/>
      <c r="F282" s="136"/>
      <c r="G282" s="136"/>
      <c r="H282" s="136"/>
      <c r="I282" s="136"/>
      <c r="J282" s="143"/>
      <c r="K282" s="136"/>
      <c r="L282" s="136"/>
      <c r="M282" s="136"/>
      <c r="N282" s="136"/>
      <c r="O282" s="136"/>
      <c r="P282" s="136"/>
    </row>
    <row r="283" spans="1:16" x14ac:dyDescent="0.2">
      <c r="A283" s="134" t="s">
        <v>329</v>
      </c>
      <c r="B283" s="161"/>
      <c r="C283" s="134"/>
      <c r="D283" s="134"/>
      <c r="E283" s="136">
        <f t="shared" si="232"/>
        <v>0</v>
      </c>
      <c r="F283" s="136"/>
      <c r="G283" s="136"/>
      <c r="H283" s="136"/>
      <c r="I283" s="136"/>
      <c r="J283" s="143"/>
      <c r="K283" s="136"/>
      <c r="L283" s="136"/>
      <c r="M283" s="136"/>
      <c r="N283" s="136"/>
      <c r="O283" s="136"/>
      <c r="P283" s="136"/>
    </row>
    <row r="284" spans="1:16" x14ac:dyDescent="0.2">
      <c r="A284" s="134" t="s">
        <v>157</v>
      </c>
      <c r="B284" s="161"/>
      <c r="C284" s="134"/>
      <c r="D284" s="134"/>
      <c r="E284" s="136">
        <f t="shared" si="232"/>
        <v>80000</v>
      </c>
      <c r="F284" s="136"/>
      <c r="G284" s="136"/>
      <c r="H284" s="136"/>
      <c r="I284" s="136"/>
      <c r="J284" s="143"/>
      <c r="K284" s="136"/>
      <c r="L284" s="136"/>
      <c r="M284" s="136"/>
      <c r="N284" s="136"/>
      <c r="O284" s="136">
        <v>80000</v>
      </c>
      <c r="P284" s="136"/>
    </row>
    <row r="285" spans="1:16" x14ac:dyDescent="0.2">
      <c r="A285" s="134" t="s">
        <v>164</v>
      </c>
      <c r="B285" s="161"/>
      <c r="C285" s="134" t="s">
        <v>164</v>
      </c>
      <c r="D285" s="134"/>
      <c r="E285" s="136">
        <f t="shared" si="232"/>
        <v>154000</v>
      </c>
      <c r="F285" s="136"/>
      <c r="G285" s="136"/>
      <c r="H285" s="136"/>
      <c r="I285" s="136"/>
      <c r="J285" s="143"/>
      <c r="K285" s="136"/>
      <c r="L285" s="136"/>
      <c r="M285" s="136"/>
      <c r="N285" s="136"/>
      <c r="O285" s="136"/>
      <c r="P285" s="136">
        <v>154000</v>
      </c>
    </row>
    <row r="286" spans="1:16" x14ac:dyDescent="0.2">
      <c r="A286" s="134" t="s">
        <v>469</v>
      </c>
      <c r="B286" s="161"/>
      <c r="C286" s="134"/>
      <c r="D286" s="134"/>
      <c r="E286" s="136">
        <v>10900</v>
      </c>
      <c r="F286" s="136"/>
      <c r="G286" s="136"/>
      <c r="H286" s="136"/>
      <c r="I286" s="136"/>
      <c r="J286" s="143"/>
      <c r="K286" s="136"/>
      <c r="L286" s="136"/>
      <c r="M286" s="136"/>
      <c r="N286" s="136"/>
      <c r="O286" s="136"/>
      <c r="P286" s="136"/>
    </row>
    <row r="287" spans="1:16" ht="12" thickBot="1" x14ac:dyDescent="0.25">
      <c r="A287" s="134"/>
      <c r="B287" s="134"/>
      <c r="C287" s="134"/>
      <c r="D287" s="134"/>
      <c r="E287" s="149">
        <f>SUM(E237:E286)</f>
        <v>17602227.908199999</v>
      </c>
      <c r="F287" s="149">
        <f t="shared" ref="F287:P287" si="245">SUM(F237:F285)</f>
        <v>10120321.080000002</v>
      </c>
      <c r="G287" s="149">
        <f t="shared" si="245"/>
        <v>2050329.0960000008</v>
      </c>
      <c r="H287" s="149">
        <f t="shared" si="245"/>
        <v>1192887.3599999999</v>
      </c>
      <c r="I287" s="149">
        <f t="shared" si="245"/>
        <v>193200</v>
      </c>
      <c r="J287" s="149">
        <f t="shared" si="245"/>
        <v>46224</v>
      </c>
      <c r="K287" s="149">
        <f t="shared" si="245"/>
        <v>2783040</v>
      </c>
      <c r="L287" s="149">
        <f t="shared" si="245"/>
        <v>2232</v>
      </c>
      <c r="M287" s="149">
        <f t="shared" si="245"/>
        <v>122896.25699999998</v>
      </c>
      <c r="N287" s="149">
        <f t="shared" si="245"/>
        <v>846198.11520000023</v>
      </c>
      <c r="O287" s="149">
        <f t="shared" si="245"/>
        <v>80000</v>
      </c>
      <c r="P287" s="149">
        <f t="shared" si="245"/>
        <v>154000</v>
      </c>
    </row>
    <row r="288" spans="1:16" ht="12" thickTop="1" x14ac:dyDescent="0.2">
      <c r="A288" s="134"/>
      <c r="B288" s="134"/>
      <c r="C288" s="134" t="s">
        <v>199</v>
      </c>
      <c r="D288" s="134">
        <f>COUNT(D237:D287)</f>
        <v>29</v>
      </c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</row>
    <row r="289" spans="1:16" x14ac:dyDescent="0.2">
      <c r="A289" s="135" t="s">
        <v>18</v>
      </c>
      <c r="B289" s="134"/>
      <c r="C289" s="134"/>
      <c r="D289" s="134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</row>
    <row r="290" spans="1:16" x14ac:dyDescent="0.2">
      <c r="A290" s="134"/>
      <c r="B290" s="134"/>
      <c r="C290" s="134" t="s">
        <v>176</v>
      </c>
      <c r="D290" s="141" t="s">
        <v>177</v>
      </c>
      <c r="E290" s="141" t="s">
        <v>178</v>
      </c>
      <c r="F290" s="141" t="s">
        <v>179</v>
      </c>
      <c r="G290" s="141" t="s">
        <v>180</v>
      </c>
      <c r="H290" s="141" t="s">
        <v>181</v>
      </c>
      <c r="I290" s="141" t="s">
        <v>182</v>
      </c>
      <c r="J290" s="141" t="s">
        <v>183</v>
      </c>
      <c r="K290" s="141" t="s">
        <v>184</v>
      </c>
      <c r="L290" s="141" t="s">
        <v>185</v>
      </c>
      <c r="M290" s="141" t="s">
        <v>186</v>
      </c>
      <c r="N290" s="141" t="s">
        <v>187</v>
      </c>
      <c r="O290" s="141" t="s">
        <v>372</v>
      </c>
      <c r="P290" s="136" t="s">
        <v>164</v>
      </c>
    </row>
    <row r="291" spans="1:16" x14ac:dyDescent="0.2">
      <c r="A291" s="134"/>
      <c r="B291" s="134"/>
      <c r="C291" s="134"/>
      <c r="D291" s="141" t="s">
        <v>188</v>
      </c>
      <c r="E291" s="141" t="s">
        <v>189</v>
      </c>
      <c r="F291" s="141"/>
      <c r="G291" s="141" t="s">
        <v>190</v>
      </c>
      <c r="H291" s="141" t="s">
        <v>190</v>
      </c>
      <c r="I291" s="141" t="s">
        <v>191</v>
      </c>
      <c r="J291" s="141"/>
      <c r="K291" s="141" t="s">
        <v>192</v>
      </c>
      <c r="L291" s="141" t="s">
        <v>193</v>
      </c>
      <c r="M291" s="141" t="s">
        <v>194</v>
      </c>
      <c r="N291" s="141" t="s">
        <v>195</v>
      </c>
      <c r="O291" s="141" t="s">
        <v>192</v>
      </c>
      <c r="P291" s="136"/>
    </row>
    <row r="292" spans="1:16" x14ac:dyDescent="0.2">
      <c r="A292" s="153" t="s">
        <v>772</v>
      </c>
      <c r="B292" s="155"/>
      <c r="C292" s="134" t="s">
        <v>371</v>
      </c>
      <c r="D292" s="134">
        <v>0</v>
      </c>
      <c r="E292" s="136">
        <f>SUM(F292:P292)</f>
        <v>1555886.3366000003</v>
      </c>
      <c r="F292" s="136">
        <f>72191*(B$5+1)*12</f>
        <v>926932.44000000018</v>
      </c>
      <c r="G292" s="136">
        <f>57159+(571597*9.5%)</f>
        <v>111460.715</v>
      </c>
      <c r="H292" s="136">
        <f t="shared" ref="H292:H293" si="246">3871*(B$6+1)*12</f>
        <v>49703.64</v>
      </c>
      <c r="I292" s="136">
        <f>0*12</f>
        <v>0</v>
      </c>
      <c r="J292" s="143">
        <v>1926</v>
      </c>
      <c r="K292" s="136">
        <f>28000*12</f>
        <v>336000</v>
      </c>
      <c r="L292" s="136">
        <v>93</v>
      </c>
      <c r="M292" s="136">
        <v>0</v>
      </c>
      <c r="N292" s="136">
        <f>F292*0.14</f>
        <v>129770.54160000004</v>
      </c>
      <c r="O292" s="136"/>
      <c r="P292" s="164"/>
    </row>
    <row r="293" spans="1:16" x14ac:dyDescent="0.2">
      <c r="A293" s="134" t="s">
        <v>779</v>
      </c>
      <c r="B293" s="134"/>
      <c r="C293" s="134" t="s">
        <v>44</v>
      </c>
      <c r="D293" s="134">
        <v>8</v>
      </c>
      <c r="E293" s="136">
        <f>SUM(F293:N293)</f>
        <v>424598.51050000009</v>
      </c>
      <c r="F293" s="136">
        <f>21595*(B$5+1)*12</f>
        <v>277279.80000000005</v>
      </c>
      <c r="G293" s="136">
        <f>F293*0.22</f>
        <v>61001.556000000011</v>
      </c>
      <c r="H293" s="136">
        <f t="shared" si="246"/>
        <v>49703.64</v>
      </c>
      <c r="I293" s="136">
        <f t="shared" ref="I293" si="247">700*12</f>
        <v>8400</v>
      </c>
      <c r="J293" s="143">
        <v>1926</v>
      </c>
      <c r="K293" s="136">
        <f>0*12</f>
        <v>0</v>
      </c>
      <c r="L293" s="136">
        <v>93</v>
      </c>
      <c r="M293" s="136">
        <f>(N293+I293+K293+F293)*0.01</f>
        <v>3087.8645000000006</v>
      </c>
      <c r="N293" s="136">
        <f>F293/12</f>
        <v>23106.650000000005</v>
      </c>
      <c r="O293" s="136"/>
      <c r="P293" s="136"/>
    </row>
    <row r="294" spans="1:16" x14ac:dyDescent="0.2">
      <c r="A294" s="166" t="s">
        <v>572</v>
      </c>
      <c r="B294" s="155"/>
      <c r="C294" s="134"/>
      <c r="D294" s="134"/>
      <c r="E294" s="136"/>
      <c r="F294" s="136"/>
      <c r="G294" s="136"/>
      <c r="H294" s="136"/>
      <c r="I294" s="136"/>
      <c r="J294" s="143"/>
      <c r="K294" s="136"/>
      <c r="L294" s="136"/>
      <c r="M294" s="136"/>
      <c r="N294" s="136"/>
      <c r="O294" s="136"/>
      <c r="P294" s="164"/>
    </row>
    <row r="295" spans="1:16" x14ac:dyDescent="0.2">
      <c r="A295" s="153"/>
      <c r="B295" s="155"/>
      <c r="C295" s="134"/>
      <c r="D295" s="134"/>
      <c r="E295" s="136"/>
      <c r="F295" s="136"/>
      <c r="G295" s="136"/>
      <c r="H295" s="136"/>
      <c r="I295" s="136"/>
      <c r="J295" s="143"/>
      <c r="K295" s="136"/>
      <c r="L295" s="136"/>
      <c r="M295" s="136"/>
      <c r="N295" s="136"/>
      <c r="O295" s="136"/>
      <c r="P295" s="164"/>
    </row>
    <row r="296" spans="1:16" x14ac:dyDescent="0.2">
      <c r="A296" s="134" t="s">
        <v>774</v>
      </c>
      <c r="B296" s="155"/>
      <c r="C296" s="134" t="s">
        <v>69</v>
      </c>
      <c r="D296" s="134">
        <v>2</v>
      </c>
      <c r="E296" s="136">
        <f t="shared" ref="E296:E309" si="248">SUM(F296:P296)</f>
        <v>1011804.6731000001</v>
      </c>
      <c r="F296" s="136">
        <f>47129*(B$5+1)*12</f>
        <v>605136.3600000001</v>
      </c>
      <c r="G296" s="136">
        <f t="shared" ref="G296:G298" si="249">F296*0.22</f>
        <v>133129.99920000002</v>
      </c>
      <c r="H296" s="136">
        <f t="shared" ref="H296:H351" si="250">3871*(B$6+1)*12</f>
        <v>49703.64</v>
      </c>
      <c r="I296" s="136">
        <f t="shared" ref="I296:I351" si="251">700*12</f>
        <v>8400</v>
      </c>
      <c r="J296" s="143">
        <v>1926</v>
      </c>
      <c r="K296" s="136">
        <f t="shared" ref="K296" si="252">12900*12</f>
        <v>154800</v>
      </c>
      <c r="L296" s="136">
        <v>93</v>
      </c>
      <c r="M296" s="136">
        <f t="shared" ref="M296:M298" si="253">(N296+I296+K296+F296)*0.01</f>
        <v>8187.6439000000018</v>
      </c>
      <c r="N296" s="136">
        <f t="shared" ref="N296:N298" si="254">F296/12</f>
        <v>50428.030000000006</v>
      </c>
      <c r="O296" s="136"/>
      <c r="P296" s="136"/>
    </row>
    <row r="297" spans="1:16" x14ac:dyDescent="0.2">
      <c r="A297" s="134" t="s">
        <v>775</v>
      </c>
      <c r="B297" s="155"/>
      <c r="C297" s="134" t="s">
        <v>357</v>
      </c>
      <c r="D297" s="134" t="s">
        <v>348</v>
      </c>
      <c r="E297" s="136">
        <f t="shared" si="248"/>
        <v>912075.38430000003</v>
      </c>
      <c r="F297" s="136">
        <f>41937*(B$5+1)*12</f>
        <v>538471.08000000007</v>
      </c>
      <c r="G297" s="136">
        <f t="shared" si="249"/>
        <v>118463.63760000002</v>
      </c>
      <c r="H297" s="136">
        <f t="shared" si="250"/>
        <v>49703.64</v>
      </c>
      <c r="I297" s="136">
        <f t="shared" si="251"/>
        <v>8400</v>
      </c>
      <c r="J297" s="143">
        <v>1926</v>
      </c>
      <c r="K297" s="136">
        <f t="shared" ref="K297" si="255">11900*12</f>
        <v>142800</v>
      </c>
      <c r="L297" s="136">
        <v>93</v>
      </c>
      <c r="M297" s="136">
        <f t="shared" si="253"/>
        <v>7345.4367000000002</v>
      </c>
      <c r="N297" s="136">
        <f t="shared" si="254"/>
        <v>44872.590000000004</v>
      </c>
      <c r="O297" s="136"/>
      <c r="P297" s="136"/>
    </row>
    <row r="298" spans="1:16" x14ac:dyDescent="0.2">
      <c r="A298" s="134" t="s">
        <v>53</v>
      </c>
      <c r="B298" s="155"/>
      <c r="C298" s="134" t="s">
        <v>369</v>
      </c>
      <c r="D298" s="134">
        <v>8</v>
      </c>
      <c r="E298" s="136">
        <f t="shared" si="248"/>
        <v>531012.11050000007</v>
      </c>
      <c r="F298" s="136">
        <f>21595*(B$5+1)*12</f>
        <v>277279.80000000005</v>
      </c>
      <c r="G298" s="136">
        <f t="shared" si="249"/>
        <v>61001.556000000011</v>
      </c>
      <c r="H298" s="136">
        <f t="shared" si="250"/>
        <v>49703.64</v>
      </c>
      <c r="I298" s="136">
        <f t="shared" si="251"/>
        <v>8400</v>
      </c>
      <c r="J298" s="143">
        <v>1926</v>
      </c>
      <c r="K298" s="136">
        <f>8780*12</f>
        <v>105360</v>
      </c>
      <c r="L298" s="136">
        <v>93</v>
      </c>
      <c r="M298" s="136">
        <f t="shared" si="253"/>
        <v>4141.464500000001</v>
      </c>
      <c r="N298" s="136">
        <f t="shared" si="254"/>
        <v>23106.650000000005</v>
      </c>
      <c r="O298" s="136"/>
      <c r="P298" s="164"/>
    </row>
    <row r="299" spans="1:16" x14ac:dyDescent="0.2">
      <c r="A299" s="134"/>
      <c r="B299" s="155"/>
      <c r="C299" s="134"/>
      <c r="D299" s="134"/>
      <c r="E299" s="136"/>
      <c r="F299" s="136"/>
      <c r="G299" s="136"/>
      <c r="H299" s="136"/>
      <c r="I299" s="136"/>
      <c r="J299" s="143"/>
      <c r="K299" s="136"/>
      <c r="L299" s="136"/>
      <c r="M299" s="136"/>
      <c r="N299" s="136"/>
      <c r="O299" s="136"/>
      <c r="P299" s="136"/>
    </row>
    <row r="300" spans="1:16" x14ac:dyDescent="0.2">
      <c r="A300" s="134"/>
      <c r="B300" s="155"/>
      <c r="C300" s="134"/>
      <c r="D300" s="134"/>
      <c r="E300" s="136"/>
      <c r="F300" s="136"/>
      <c r="G300" s="136"/>
      <c r="H300" s="136"/>
      <c r="I300" s="136"/>
      <c r="J300" s="143"/>
      <c r="K300" s="136"/>
      <c r="L300" s="136"/>
      <c r="M300" s="136"/>
      <c r="N300" s="136"/>
      <c r="O300" s="136"/>
      <c r="P300" s="136"/>
    </row>
    <row r="301" spans="1:16" x14ac:dyDescent="0.2">
      <c r="A301" s="133" t="s">
        <v>573</v>
      </c>
      <c r="B301" s="155"/>
      <c r="C301" s="134"/>
      <c r="D301" s="134"/>
      <c r="E301" s="136"/>
      <c r="F301" s="136"/>
      <c r="G301" s="136"/>
      <c r="H301" s="136"/>
      <c r="I301" s="136"/>
      <c r="J301" s="143"/>
      <c r="K301" s="136"/>
      <c r="L301" s="136"/>
      <c r="M301" s="136"/>
      <c r="N301" s="136"/>
      <c r="O301" s="136"/>
      <c r="P301" s="136"/>
    </row>
    <row r="302" spans="1:16" x14ac:dyDescent="0.2">
      <c r="A302" s="133"/>
      <c r="B302" s="155"/>
      <c r="C302" s="134"/>
      <c r="D302" s="134"/>
      <c r="E302" s="136"/>
      <c r="F302" s="136"/>
      <c r="G302" s="136"/>
      <c r="H302" s="136"/>
      <c r="I302" s="136"/>
      <c r="J302" s="143"/>
      <c r="K302" s="136"/>
      <c r="L302" s="136"/>
      <c r="M302" s="136"/>
      <c r="N302" s="136"/>
      <c r="O302" s="136"/>
      <c r="P302" s="136"/>
    </row>
    <row r="303" spans="1:16" x14ac:dyDescent="0.2">
      <c r="A303" s="134" t="s">
        <v>777</v>
      </c>
      <c r="B303" s="155"/>
      <c r="C303" s="134" t="s">
        <v>317</v>
      </c>
      <c r="D303" s="134" t="s">
        <v>348</v>
      </c>
      <c r="E303" s="136">
        <f t="shared" ref="E303" si="256">SUM(F303:P303)</f>
        <v>912075.38430000003</v>
      </c>
      <c r="F303" s="136">
        <f>41937*(B$5+1)*12</f>
        <v>538471.08000000007</v>
      </c>
      <c r="G303" s="136">
        <f t="shared" ref="G303" si="257">F303*0.22</f>
        <v>118463.63760000002</v>
      </c>
      <c r="H303" s="136">
        <f t="shared" ref="H303:H306" si="258">3871*(B$6+1)*12</f>
        <v>49703.64</v>
      </c>
      <c r="I303" s="136">
        <f t="shared" ref="I303:I352" si="259">700*12</f>
        <v>8400</v>
      </c>
      <c r="J303" s="143">
        <v>1926</v>
      </c>
      <c r="K303" s="136">
        <f t="shared" ref="K303" si="260">11900*12</f>
        <v>142800</v>
      </c>
      <c r="L303" s="136">
        <v>93</v>
      </c>
      <c r="M303" s="136">
        <f t="shared" ref="M303" si="261">(N303+I303+K303+F303)*0.01</f>
        <v>7345.4367000000002</v>
      </c>
      <c r="N303" s="136">
        <f>F303/12</f>
        <v>44872.590000000004</v>
      </c>
      <c r="O303" s="136"/>
      <c r="P303" s="136"/>
    </row>
    <row r="304" spans="1:16" x14ac:dyDescent="0.2">
      <c r="A304" s="134" t="s">
        <v>370</v>
      </c>
      <c r="B304" s="134"/>
      <c r="C304" s="134" t="s">
        <v>363</v>
      </c>
      <c r="D304" s="134">
        <v>6</v>
      </c>
      <c r="E304" s="136">
        <f>SUM(F304:P304)</f>
        <v>656499.08219999995</v>
      </c>
      <c r="F304" s="136">
        <f>28098*(B$5+1)*12</f>
        <v>360778.32</v>
      </c>
      <c r="G304" s="136">
        <f>F304*0.22</f>
        <v>79371.2304</v>
      </c>
      <c r="H304" s="136">
        <f t="shared" ref="H304:H352" si="262">3871*(B$6+1)*12</f>
        <v>49703.64</v>
      </c>
      <c r="I304" s="136">
        <f t="shared" si="259"/>
        <v>8400</v>
      </c>
      <c r="J304" s="143">
        <v>1926</v>
      </c>
      <c r="K304" s="136">
        <f>10080*12</f>
        <v>120960</v>
      </c>
      <c r="L304" s="136">
        <v>93</v>
      </c>
      <c r="M304" s="136">
        <f>(N304+I304+K304+F304)*0.01</f>
        <v>5202.0317999999997</v>
      </c>
      <c r="N304" s="136">
        <f>F304/12</f>
        <v>30064.86</v>
      </c>
      <c r="O304" s="136"/>
      <c r="P304" s="136"/>
    </row>
    <row r="305" spans="1:16" x14ac:dyDescent="0.2">
      <c r="A305" s="134" t="s">
        <v>441</v>
      </c>
      <c r="B305" s="155"/>
      <c r="C305" s="134" t="s">
        <v>358</v>
      </c>
      <c r="D305" s="134">
        <v>7</v>
      </c>
      <c r="E305" s="136">
        <f t="shared" ref="E305" si="263">SUM(F305:P305)</f>
        <v>592260.14490000007</v>
      </c>
      <c r="F305" s="136">
        <f>24291*(B$5+1)*12</f>
        <v>311896.44000000006</v>
      </c>
      <c r="G305" s="136">
        <f t="shared" ref="G305" si="264">F305*0.22</f>
        <v>68617.216800000009</v>
      </c>
      <c r="H305" s="136">
        <f t="shared" si="258"/>
        <v>49703.64</v>
      </c>
      <c r="I305" s="136">
        <f t="shared" si="251"/>
        <v>8400</v>
      </c>
      <c r="J305" s="143">
        <v>1926</v>
      </c>
      <c r="K305" s="136">
        <f>10080*12</f>
        <v>120960</v>
      </c>
      <c r="L305" s="136">
        <v>93</v>
      </c>
      <c r="M305" s="136">
        <f t="shared" ref="M305" si="265">(N305+I305+K305+F305)*0.01</f>
        <v>4672.4781000000003</v>
      </c>
      <c r="N305" s="136">
        <f t="shared" ref="N305" si="266">F305/12</f>
        <v>25991.370000000006</v>
      </c>
      <c r="O305" s="136"/>
      <c r="P305" s="136"/>
    </row>
    <row r="306" spans="1:16" x14ac:dyDescent="0.2">
      <c r="A306" s="134" t="s">
        <v>54</v>
      </c>
      <c r="B306" s="155"/>
      <c r="C306" s="134" t="s">
        <v>262</v>
      </c>
      <c r="D306" s="134">
        <v>8</v>
      </c>
      <c r="E306" s="136">
        <f>SUM(F306:P306)</f>
        <v>531012.11050000007</v>
      </c>
      <c r="F306" s="136">
        <f>21595*(B$5+1)*12</f>
        <v>277279.80000000005</v>
      </c>
      <c r="G306" s="136">
        <f>F306*0.22</f>
        <v>61001.556000000011</v>
      </c>
      <c r="H306" s="136">
        <f t="shared" si="258"/>
        <v>49703.64</v>
      </c>
      <c r="I306" s="136">
        <f t="shared" si="251"/>
        <v>8400</v>
      </c>
      <c r="J306" s="143">
        <v>1926</v>
      </c>
      <c r="K306" s="136">
        <f>8780*12</f>
        <v>105360</v>
      </c>
      <c r="L306" s="136">
        <v>93</v>
      </c>
      <c r="M306" s="136">
        <f>(N306+I306+K306+F306)*0.01</f>
        <v>4141.464500000001</v>
      </c>
      <c r="N306" s="136">
        <f>F306/12</f>
        <v>23106.650000000005</v>
      </c>
      <c r="O306" s="136"/>
      <c r="P306" s="136"/>
    </row>
    <row r="307" spans="1:16" x14ac:dyDescent="0.2">
      <c r="A307" s="134" t="s">
        <v>329</v>
      </c>
      <c r="B307" s="155"/>
      <c r="C307" s="134"/>
      <c r="D307" s="134"/>
      <c r="E307" s="136">
        <f t="shared" si="248"/>
        <v>0</v>
      </c>
      <c r="F307" s="136"/>
      <c r="G307" s="136"/>
      <c r="H307" s="136"/>
      <c r="I307" s="136"/>
      <c r="J307" s="143"/>
      <c r="K307" s="136"/>
      <c r="L307" s="136"/>
      <c r="M307" s="136"/>
      <c r="N307" s="136"/>
      <c r="O307" s="136"/>
      <c r="P307" s="136"/>
    </row>
    <row r="308" spans="1:16" x14ac:dyDescent="0.2">
      <c r="A308" s="134" t="s">
        <v>157</v>
      </c>
      <c r="B308" s="155"/>
      <c r="C308" s="134"/>
      <c r="D308" s="134"/>
      <c r="E308" s="136">
        <f t="shared" si="248"/>
        <v>30000</v>
      </c>
      <c r="F308" s="136"/>
      <c r="G308" s="136"/>
      <c r="H308" s="136"/>
      <c r="I308" s="136"/>
      <c r="J308" s="143"/>
      <c r="K308" s="136"/>
      <c r="L308" s="136"/>
      <c r="M308" s="136"/>
      <c r="N308" s="136"/>
      <c r="O308" s="136">
        <v>30000</v>
      </c>
      <c r="P308" s="136"/>
    </row>
    <row r="309" spans="1:16" x14ac:dyDescent="0.2">
      <c r="A309" s="134" t="s">
        <v>164</v>
      </c>
      <c r="B309" s="161"/>
      <c r="C309" s="134" t="s">
        <v>164</v>
      </c>
      <c r="D309" s="134"/>
      <c r="E309" s="136">
        <f t="shared" si="248"/>
        <v>63200</v>
      </c>
      <c r="F309" s="136"/>
      <c r="G309" s="136"/>
      <c r="H309" s="136"/>
      <c r="I309" s="136"/>
      <c r="J309" s="143"/>
      <c r="K309" s="136"/>
      <c r="L309" s="136"/>
      <c r="M309" s="136"/>
      <c r="N309" s="136"/>
      <c r="O309" s="136"/>
      <c r="P309" s="136">
        <v>63200</v>
      </c>
    </row>
    <row r="310" spans="1:16" ht="12" thickBot="1" x14ac:dyDescent="0.25">
      <c r="A310" s="134" t="s">
        <v>172</v>
      </c>
      <c r="B310" s="134"/>
      <c r="C310" s="134"/>
      <c r="D310" s="134"/>
      <c r="E310" s="149">
        <f t="shared" ref="E310:P310" si="267">SUM(E292:E309)</f>
        <v>7220423.7369000008</v>
      </c>
      <c r="F310" s="149">
        <f t="shared" si="267"/>
        <v>4113525.12</v>
      </c>
      <c r="G310" s="149">
        <f t="shared" si="267"/>
        <v>812511.10460000008</v>
      </c>
      <c r="H310" s="149">
        <f t="shared" si="267"/>
        <v>447332.76000000007</v>
      </c>
      <c r="I310" s="149">
        <f t="shared" si="267"/>
        <v>67200</v>
      </c>
      <c r="J310" s="149">
        <f t="shared" si="267"/>
        <v>17334</v>
      </c>
      <c r="K310" s="149">
        <f t="shared" si="267"/>
        <v>1229040</v>
      </c>
      <c r="L310" s="149">
        <f t="shared" si="267"/>
        <v>837</v>
      </c>
      <c r="M310" s="149">
        <f t="shared" si="267"/>
        <v>44123.820700000004</v>
      </c>
      <c r="N310" s="149">
        <f t="shared" si="267"/>
        <v>395319.93160000007</v>
      </c>
      <c r="O310" s="149">
        <f t="shared" si="267"/>
        <v>30000</v>
      </c>
      <c r="P310" s="149">
        <f t="shared" si="267"/>
        <v>63200</v>
      </c>
    </row>
    <row r="311" spans="1:16" ht="12" thickTop="1" x14ac:dyDescent="0.2">
      <c r="A311" s="134"/>
      <c r="B311" s="134"/>
      <c r="C311" s="134" t="s">
        <v>199</v>
      </c>
      <c r="D311" s="167" t="s">
        <v>443</v>
      </c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36"/>
    </row>
    <row r="312" spans="1:16" x14ac:dyDescent="0.2">
      <c r="A312" s="134"/>
      <c r="B312" s="134"/>
      <c r="C312" s="134"/>
      <c r="D312" s="134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36"/>
    </row>
    <row r="313" spans="1:16" x14ac:dyDescent="0.2">
      <c r="A313" s="135" t="s">
        <v>229</v>
      </c>
      <c r="B313" s="134"/>
      <c r="C313" s="134" t="s">
        <v>176</v>
      </c>
      <c r="D313" s="141" t="s">
        <v>177</v>
      </c>
      <c r="E313" s="141" t="s">
        <v>178</v>
      </c>
      <c r="F313" s="141" t="s">
        <v>179</v>
      </c>
      <c r="G313" s="141" t="s">
        <v>180</v>
      </c>
      <c r="H313" s="141" t="s">
        <v>181</v>
      </c>
      <c r="I313" s="141" t="s">
        <v>182</v>
      </c>
      <c r="J313" s="141" t="s">
        <v>183</v>
      </c>
      <c r="K313" s="141" t="s">
        <v>184</v>
      </c>
      <c r="L313" s="141" t="s">
        <v>185</v>
      </c>
      <c r="M313" s="141" t="s">
        <v>186</v>
      </c>
      <c r="N313" s="141" t="s">
        <v>187</v>
      </c>
      <c r="O313" s="141"/>
      <c r="P313" s="136"/>
    </row>
    <row r="314" spans="1:16" x14ac:dyDescent="0.2">
      <c r="A314" s="134"/>
      <c r="B314" s="134"/>
      <c r="C314" s="134"/>
      <c r="D314" s="141" t="s">
        <v>188</v>
      </c>
      <c r="E314" s="141" t="s">
        <v>189</v>
      </c>
      <c r="F314" s="141"/>
      <c r="G314" s="141" t="s">
        <v>190</v>
      </c>
      <c r="H314" s="141" t="s">
        <v>190</v>
      </c>
      <c r="I314" s="141" t="s">
        <v>191</v>
      </c>
      <c r="J314" s="141"/>
      <c r="K314" s="141" t="s">
        <v>192</v>
      </c>
      <c r="L314" s="141" t="s">
        <v>193</v>
      </c>
      <c r="M314" s="141" t="s">
        <v>194</v>
      </c>
      <c r="N314" s="141" t="s">
        <v>195</v>
      </c>
      <c r="O314" s="141"/>
      <c r="P314" s="136"/>
    </row>
    <row r="315" spans="1:16" x14ac:dyDescent="0.2">
      <c r="A315" s="134"/>
      <c r="B315" s="134"/>
      <c r="C315" s="134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36"/>
    </row>
    <row r="316" spans="1:16" x14ac:dyDescent="0.2">
      <c r="A316" s="134" t="s">
        <v>417</v>
      </c>
      <c r="B316" s="134"/>
      <c r="C316" s="134" t="s">
        <v>33</v>
      </c>
      <c r="D316" s="134">
        <v>2</v>
      </c>
      <c r="E316" s="136">
        <f>SUM(F316:P316)</f>
        <v>1011804.6731000001</v>
      </c>
      <c r="F316" s="136">
        <f>47129*(B$5+1)*12</f>
        <v>605136.3600000001</v>
      </c>
      <c r="G316" s="136">
        <f>F316*0.22</f>
        <v>133129.99920000002</v>
      </c>
      <c r="H316" s="136">
        <f t="shared" ref="H316:H319" si="268">3871*(B$6+1)*12</f>
        <v>49703.64</v>
      </c>
      <c r="I316" s="136">
        <f t="shared" ref="I316:I319" si="269">700*12</f>
        <v>8400</v>
      </c>
      <c r="J316" s="143">
        <v>1926</v>
      </c>
      <c r="K316" s="136">
        <f t="shared" ref="K316" si="270">12900*12</f>
        <v>154800</v>
      </c>
      <c r="L316" s="136">
        <v>93</v>
      </c>
      <c r="M316" s="136">
        <f t="shared" ref="M316" si="271">(N316+I316+K316+F316)*0.01</f>
        <v>8187.6439000000018</v>
      </c>
      <c r="N316" s="136">
        <f>F316/12</f>
        <v>50428.030000000006</v>
      </c>
      <c r="O316" s="136"/>
      <c r="P316" s="136"/>
    </row>
    <row r="317" spans="1:16" s="148" customFormat="1" x14ac:dyDescent="0.2">
      <c r="A317" s="145" t="s">
        <v>672</v>
      </c>
      <c r="B317" s="145"/>
      <c r="C317" s="145" t="s">
        <v>34</v>
      </c>
      <c r="D317" s="145">
        <v>3</v>
      </c>
      <c r="E317" s="146"/>
      <c r="F317" s="146"/>
      <c r="G317" s="146"/>
      <c r="H317" s="146"/>
      <c r="I317" s="146"/>
      <c r="J317" s="147"/>
      <c r="K317" s="146"/>
      <c r="L317" s="146"/>
      <c r="M317" s="146"/>
      <c r="N317" s="146"/>
      <c r="O317" s="146"/>
      <c r="P317" s="146"/>
    </row>
    <row r="318" spans="1:16" x14ac:dyDescent="0.2">
      <c r="A318" s="134" t="s">
        <v>671</v>
      </c>
      <c r="B318" s="134"/>
      <c r="C318" s="134" t="s">
        <v>46</v>
      </c>
      <c r="D318" s="134">
        <v>5</v>
      </c>
      <c r="E318" s="136">
        <f>SUM(F318:P318)</f>
        <v>715422.52520000003</v>
      </c>
      <c r="F318" s="136">
        <f>31799*(B$5+1)*12</f>
        <v>408299.16000000003</v>
      </c>
      <c r="G318" s="136">
        <f>F318*0.22</f>
        <v>89825.815200000012</v>
      </c>
      <c r="H318" s="136">
        <f t="shared" si="268"/>
        <v>49703.64</v>
      </c>
      <c r="I318" s="136">
        <f t="shared" si="269"/>
        <v>8400</v>
      </c>
      <c r="J318" s="143">
        <v>1926</v>
      </c>
      <c r="K318" s="136">
        <f>10080*12</f>
        <v>120960</v>
      </c>
      <c r="L318" s="136">
        <v>93</v>
      </c>
      <c r="M318" s="136">
        <v>2189.98</v>
      </c>
      <c r="N318" s="136">
        <f>F318/12</f>
        <v>34024.93</v>
      </c>
      <c r="O318" s="136"/>
      <c r="P318" s="136"/>
    </row>
    <row r="319" spans="1:16" x14ac:dyDescent="0.2">
      <c r="A319" s="134" t="s">
        <v>196</v>
      </c>
      <c r="B319" s="134"/>
      <c r="C319" s="134" t="s">
        <v>427</v>
      </c>
      <c r="D319" s="134">
        <v>8</v>
      </c>
      <c r="E319" s="136">
        <f t="shared" ref="E319" si="272">SUM(F319:P319)</f>
        <v>507499.31050000008</v>
      </c>
      <c r="F319" s="136">
        <f>21595*(B$5+1)*12</f>
        <v>277279.80000000005</v>
      </c>
      <c r="G319" s="136">
        <f>F319*0.22</f>
        <v>61001.556000000011</v>
      </c>
      <c r="H319" s="136">
        <f t="shared" si="268"/>
        <v>49703.64</v>
      </c>
      <c r="I319" s="136">
        <f t="shared" si="269"/>
        <v>8400</v>
      </c>
      <c r="J319" s="143">
        <v>1926</v>
      </c>
      <c r="K319" s="136">
        <f>6840*12</f>
        <v>82080</v>
      </c>
      <c r="L319" s="136">
        <v>93</v>
      </c>
      <c r="M319" s="136">
        <f t="shared" ref="M319" si="273">(N319+I319+K319+F319)*0.01</f>
        <v>3908.6645000000008</v>
      </c>
      <c r="N319" s="136">
        <f>F319/12</f>
        <v>23106.650000000005</v>
      </c>
      <c r="O319" s="136"/>
      <c r="P319" s="136"/>
    </row>
    <row r="320" spans="1:16" x14ac:dyDescent="0.2">
      <c r="A320" s="134" t="s">
        <v>329</v>
      </c>
      <c r="B320" s="134"/>
      <c r="C320" s="134"/>
      <c r="D320" s="134"/>
      <c r="E320" s="136">
        <f>SUM(F320:N320)</f>
        <v>0</v>
      </c>
      <c r="F320" s="136"/>
      <c r="G320" s="136"/>
      <c r="H320" s="136"/>
      <c r="I320" s="136"/>
      <c r="J320" s="143"/>
      <c r="K320" s="136"/>
      <c r="L320" s="136"/>
      <c r="M320" s="136"/>
      <c r="N320" s="136"/>
      <c r="O320" s="136"/>
      <c r="P320" s="136"/>
    </row>
    <row r="321" spans="1:16" ht="12" thickBot="1" x14ac:dyDescent="0.25">
      <c r="A321" s="134"/>
      <c r="B321" s="134"/>
      <c r="C321" s="134"/>
      <c r="D321" s="134"/>
      <c r="E321" s="149">
        <f t="shared" ref="E321:M321" si="274">SUM(E316:E320)</f>
        <v>2234726.5088000004</v>
      </c>
      <c r="F321" s="149">
        <f t="shared" si="274"/>
        <v>1290715.3200000003</v>
      </c>
      <c r="G321" s="149">
        <f t="shared" si="274"/>
        <v>283957.37040000001</v>
      </c>
      <c r="H321" s="149">
        <f t="shared" si="274"/>
        <v>149110.91999999998</v>
      </c>
      <c r="I321" s="149">
        <f t="shared" si="274"/>
        <v>25200</v>
      </c>
      <c r="J321" s="149">
        <f t="shared" si="274"/>
        <v>5778</v>
      </c>
      <c r="K321" s="149">
        <f t="shared" si="274"/>
        <v>357840</v>
      </c>
      <c r="L321" s="149">
        <f t="shared" si="274"/>
        <v>279</v>
      </c>
      <c r="M321" s="149">
        <f t="shared" si="274"/>
        <v>14286.288400000003</v>
      </c>
      <c r="N321" s="149">
        <f>SUM(N316:N320)</f>
        <v>107559.61000000002</v>
      </c>
      <c r="O321" s="152"/>
      <c r="P321" s="136"/>
    </row>
    <row r="322" spans="1:16" ht="12" thickTop="1" x14ac:dyDescent="0.2">
      <c r="A322" s="134"/>
      <c r="B322" s="134"/>
      <c r="C322" s="134" t="s">
        <v>199</v>
      </c>
      <c r="D322" s="134">
        <f>COUNT(D316:D321)</f>
        <v>4</v>
      </c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36"/>
    </row>
    <row r="323" spans="1:16" x14ac:dyDescent="0.2">
      <c r="A323" s="134"/>
      <c r="B323" s="134"/>
      <c r="C323" s="134"/>
      <c r="D323" s="134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</row>
    <row r="324" spans="1:16" x14ac:dyDescent="0.2">
      <c r="A324" s="135" t="s">
        <v>326</v>
      </c>
      <c r="B324" s="134"/>
      <c r="C324" s="134"/>
      <c r="D324" s="134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</row>
    <row r="325" spans="1:16" x14ac:dyDescent="0.2">
      <c r="A325" s="134"/>
      <c r="B325" s="134"/>
      <c r="C325" s="134" t="s">
        <v>176</v>
      </c>
      <c r="D325" s="141" t="s">
        <v>177</v>
      </c>
      <c r="E325" s="141" t="s">
        <v>178</v>
      </c>
      <c r="F325" s="141" t="s">
        <v>179</v>
      </c>
      <c r="G325" s="141" t="s">
        <v>180</v>
      </c>
      <c r="H325" s="141" t="s">
        <v>181</v>
      </c>
      <c r="I325" s="141" t="s">
        <v>182</v>
      </c>
      <c r="J325" s="141" t="s">
        <v>183</v>
      </c>
      <c r="K325" s="141" t="s">
        <v>184</v>
      </c>
      <c r="L325" s="141" t="s">
        <v>185</v>
      </c>
      <c r="M325" s="141" t="s">
        <v>186</v>
      </c>
      <c r="N325" s="141" t="s">
        <v>187</v>
      </c>
      <c r="O325" s="141"/>
      <c r="P325" s="136" t="s">
        <v>164</v>
      </c>
    </row>
    <row r="326" spans="1:16" x14ac:dyDescent="0.2">
      <c r="A326" s="134"/>
      <c r="B326" s="134"/>
      <c r="C326" s="134"/>
      <c r="D326" s="141" t="s">
        <v>188</v>
      </c>
      <c r="E326" s="141" t="s">
        <v>189</v>
      </c>
      <c r="F326" s="141"/>
      <c r="G326" s="141" t="s">
        <v>190</v>
      </c>
      <c r="H326" s="141" t="s">
        <v>190</v>
      </c>
      <c r="I326" s="141" t="s">
        <v>191</v>
      </c>
      <c r="J326" s="141"/>
      <c r="K326" s="141" t="s">
        <v>192</v>
      </c>
      <c r="L326" s="141" t="s">
        <v>193</v>
      </c>
      <c r="M326" s="141" t="s">
        <v>194</v>
      </c>
      <c r="N326" s="141" t="s">
        <v>195</v>
      </c>
      <c r="O326" s="141"/>
      <c r="P326" s="136"/>
    </row>
    <row r="327" spans="1:16" x14ac:dyDescent="0.2">
      <c r="A327" s="134" t="s">
        <v>762</v>
      </c>
      <c r="B327" s="134"/>
      <c r="C327" s="134" t="s">
        <v>454</v>
      </c>
      <c r="D327" s="134">
        <v>8</v>
      </c>
      <c r="E327" s="136">
        <f t="shared" ref="E327" si="275">SUM(F327:P327)</f>
        <v>424598.51050000009</v>
      </c>
      <c r="F327" s="136">
        <f>21595*(B$5+1)*12</f>
        <v>277279.80000000005</v>
      </c>
      <c r="G327" s="136">
        <f t="shared" ref="G327" si="276">F327*0.22</f>
        <v>61001.556000000011</v>
      </c>
      <c r="H327" s="136">
        <f t="shared" ref="H327" si="277">3871*(B$6+1)*12</f>
        <v>49703.64</v>
      </c>
      <c r="I327" s="136">
        <f t="shared" ref="I327" si="278">700*12</f>
        <v>8400</v>
      </c>
      <c r="J327" s="143">
        <v>1926</v>
      </c>
      <c r="K327" s="136">
        <v>0</v>
      </c>
      <c r="L327" s="136">
        <v>93</v>
      </c>
      <c r="M327" s="136">
        <f t="shared" ref="M327" si="279">(N327+I327+K327+F327)*0.01</f>
        <v>3087.8645000000006</v>
      </c>
      <c r="N327" s="136">
        <f t="shared" ref="N327" si="280">F327/12</f>
        <v>23106.650000000005</v>
      </c>
      <c r="O327" s="141"/>
      <c r="P327" s="136"/>
    </row>
    <row r="328" spans="1:16" x14ac:dyDescent="0.2">
      <c r="A328" s="134"/>
      <c r="B328" s="134"/>
      <c r="C328" s="134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36"/>
    </row>
    <row r="329" spans="1:16" x14ac:dyDescent="0.2">
      <c r="A329" s="133" t="s">
        <v>763</v>
      </c>
      <c r="B329" s="134"/>
      <c r="C329" s="134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36"/>
    </row>
    <row r="330" spans="1:16" x14ac:dyDescent="0.2">
      <c r="A330" s="134"/>
      <c r="B330" s="134"/>
      <c r="C330" s="134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36"/>
    </row>
    <row r="331" spans="1:16" x14ac:dyDescent="0.2">
      <c r="A331" s="134" t="s">
        <v>754</v>
      </c>
      <c r="B331" s="155"/>
      <c r="C331" s="134" t="s">
        <v>359</v>
      </c>
      <c r="D331" s="134">
        <v>2</v>
      </c>
      <c r="E331" s="136">
        <f>SUM(F331:P331)</f>
        <v>1011804.6731000001</v>
      </c>
      <c r="F331" s="136">
        <f>47129*(B$5+1)*12</f>
        <v>605136.3600000001</v>
      </c>
      <c r="G331" s="136">
        <f>F331*0.22</f>
        <v>133129.99920000002</v>
      </c>
      <c r="H331" s="136">
        <f t="shared" ref="H331:H333" si="281">3871*(B$6+1)*12</f>
        <v>49703.64</v>
      </c>
      <c r="I331" s="136">
        <f t="shared" ref="I331:I341" si="282">700*12</f>
        <v>8400</v>
      </c>
      <c r="J331" s="143">
        <v>1926</v>
      </c>
      <c r="K331" s="136">
        <f t="shared" ref="K331:K339" si="283">12900*12</f>
        <v>154800</v>
      </c>
      <c r="L331" s="136">
        <v>93</v>
      </c>
      <c r="M331" s="136">
        <f t="shared" ref="M331:M341" si="284">(N331+I331+K331+F331)*0.01</f>
        <v>8187.6439000000018</v>
      </c>
      <c r="N331" s="136">
        <f>F331/12</f>
        <v>50428.030000000006</v>
      </c>
      <c r="O331" s="136"/>
      <c r="P331" s="136"/>
    </row>
    <row r="332" spans="1:16" x14ac:dyDescent="0.2">
      <c r="A332" s="134" t="s">
        <v>758</v>
      </c>
      <c r="B332" s="134"/>
      <c r="C332" s="134" t="s">
        <v>413</v>
      </c>
      <c r="D332" s="134" t="s">
        <v>347</v>
      </c>
      <c r="E332" s="136">
        <f t="shared" ref="E332" si="285">SUM(F332:P332)</f>
        <v>912075.38430000003</v>
      </c>
      <c r="F332" s="136">
        <f>41937*(B$5+1)*12</f>
        <v>538471.08000000007</v>
      </c>
      <c r="G332" s="136">
        <f>F332*0.22</f>
        <v>118463.63760000002</v>
      </c>
      <c r="H332" s="136">
        <f t="shared" si="281"/>
        <v>49703.64</v>
      </c>
      <c r="I332" s="136">
        <f t="shared" si="282"/>
        <v>8400</v>
      </c>
      <c r="J332" s="143">
        <v>1926</v>
      </c>
      <c r="K332" s="136">
        <f>11900*12</f>
        <v>142800</v>
      </c>
      <c r="L332" s="136">
        <v>93</v>
      </c>
      <c r="M332" s="136">
        <f t="shared" si="284"/>
        <v>7345.4367000000002</v>
      </c>
      <c r="N332" s="136">
        <f>F332/12</f>
        <v>44872.590000000004</v>
      </c>
      <c r="O332" s="136"/>
      <c r="P332" s="136"/>
    </row>
    <row r="333" spans="1:16" x14ac:dyDescent="0.2">
      <c r="A333" s="134" t="s">
        <v>761</v>
      </c>
      <c r="B333" s="155"/>
      <c r="C333" s="134" t="s">
        <v>91</v>
      </c>
      <c r="D333" s="134">
        <v>8</v>
      </c>
      <c r="E333" s="136">
        <f t="shared" ref="E333" si="286">SUM(F333:P333)</f>
        <v>531012.11050000007</v>
      </c>
      <c r="F333" s="136">
        <f>21595*(B$5+1)*12</f>
        <v>277279.80000000005</v>
      </c>
      <c r="G333" s="136">
        <f>F333*0.22</f>
        <v>61001.556000000011</v>
      </c>
      <c r="H333" s="136">
        <f t="shared" si="281"/>
        <v>49703.64</v>
      </c>
      <c r="I333" s="136">
        <f t="shared" si="282"/>
        <v>8400</v>
      </c>
      <c r="J333" s="143">
        <v>1926</v>
      </c>
      <c r="K333" s="136">
        <f>8780*12</f>
        <v>105360</v>
      </c>
      <c r="L333" s="136">
        <v>93</v>
      </c>
      <c r="M333" s="136">
        <f t="shared" ref="M333" si="287">(N333+I333+K333+F333)*0.01</f>
        <v>4141.464500000001</v>
      </c>
      <c r="N333" s="136">
        <f>F333/12</f>
        <v>23106.650000000005</v>
      </c>
      <c r="O333" s="136"/>
      <c r="P333" s="136"/>
    </row>
    <row r="334" spans="1:16" x14ac:dyDescent="0.2">
      <c r="A334" s="134" t="s">
        <v>761</v>
      </c>
      <c r="B334" s="155"/>
      <c r="C334" s="134" t="s">
        <v>34</v>
      </c>
      <c r="D334" s="134">
        <v>8</v>
      </c>
      <c r="E334" s="136">
        <f t="shared" ref="E334:E335" si="288">SUM(F334:P334)</f>
        <v>531012.11050000007</v>
      </c>
      <c r="F334" s="136">
        <f>21595*(B$5+1)*12</f>
        <v>277279.80000000005</v>
      </c>
      <c r="G334" s="136">
        <f>F334*0.22</f>
        <v>61001.556000000011</v>
      </c>
      <c r="H334" s="136">
        <f t="shared" ref="H334:H335" si="289">3871*(B$6+1)*12</f>
        <v>49703.64</v>
      </c>
      <c r="I334" s="136">
        <f t="shared" si="282"/>
        <v>8400</v>
      </c>
      <c r="J334" s="143">
        <v>1926</v>
      </c>
      <c r="K334" s="136">
        <f>8780*12</f>
        <v>105360</v>
      </c>
      <c r="L334" s="136">
        <v>93</v>
      </c>
      <c r="M334" s="136">
        <f t="shared" ref="M334:M335" si="290">(N334+I334+K334+F334)*0.01</f>
        <v>4141.464500000001</v>
      </c>
      <c r="N334" s="136">
        <f>F334/12</f>
        <v>23106.650000000005</v>
      </c>
      <c r="O334" s="136"/>
      <c r="P334" s="136"/>
    </row>
    <row r="335" spans="1:16" x14ac:dyDescent="0.2">
      <c r="A335" s="145" t="s">
        <v>555</v>
      </c>
      <c r="B335" s="156"/>
      <c r="C335" s="145" t="s">
        <v>34</v>
      </c>
      <c r="D335" s="145">
        <v>8</v>
      </c>
      <c r="E335" s="136">
        <f t="shared" si="288"/>
        <v>424598.51050000009</v>
      </c>
      <c r="F335" s="136">
        <f>21595*(B$5+1)*12</f>
        <v>277279.80000000005</v>
      </c>
      <c r="G335" s="136">
        <f t="shared" ref="G335" si="291">F335*0.22</f>
        <v>61001.556000000011</v>
      </c>
      <c r="H335" s="136">
        <f t="shared" si="289"/>
        <v>49703.64</v>
      </c>
      <c r="I335" s="136">
        <f t="shared" si="282"/>
        <v>8400</v>
      </c>
      <c r="J335" s="143">
        <v>1926</v>
      </c>
      <c r="K335" s="136">
        <v>0</v>
      </c>
      <c r="L335" s="136">
        <v>93</v>
      </c>
      <c r="M335" s="136">
        <f t="shared" si="290"/>
        <v>3087.8645000000006</v>
      </c>
      <c r="N335" s="136">
        <f t="shared" ref="N335" si="292">F335/12</f>
        <v>23106.650000000005</v>
      </c>
      <c r="O335" s="146"/>
      <c r="P335" s="146"/>
    </row>
    <row r="336" spans="1:16" x14ac:dyDescent="0.2">
      <c r="A336" s="145"/>
      <c r="B336" s="156"/>
      <c r="C336" s="145"/>
      <c r="D336" s="145"/>
      <c r="E336" s="146"/>
      <c r="F336" s="146"/>
      <c r="G336" s="146"/>
      <c r="H336" s="146"/>
      <c r="I336" s="146"/>
      <c r="J336" s="147"/>
      <c r="K336" s="146"/>
      <c r="L336" s="146"/>
      <c r="M336" s="146"/>
      <c r="N336" s="146"/>
      <c r="O336" s="146"/>
      <c r="P336" s="146"/>
    </row>
    <row r="337" spans="1:16" x14ac:dyDescent="0.2">
      <c r="A337" s="133" t="s">
        <v>764</v>
      </c>
      <c r="B337" s="155"/>
      <c r="C337" s="134"/>
      <c r="D337" s="134"/>
      <c r="E337" s="136"/>
      <c r="F337" s="136"/>
      <c r="G337" s="136"/>
      <c r="H337" s="136"/>
      <c r="I337" s="136"/>
      <c r="J337" s="143"/>
      <c r="K337" s="136"/>
      <c r="L337" s="136"/>
      <c r="M337" s="136"/>
      <c r="N337" s="136"/>
      <c r="O337" s="136"/>
      <c r="P337" s="136"/>
    </row>
    <row r="338" spans="1:16" x14ac:dyDescent="0.2">
      <c r="A338" s="134"/>
      <c r="B338" s="155"/>
      <c r="C338" s="134"/>
      <c r="D338" s="134"/>
      <c r="E338" s="136"/>
      <c r="F338" s="136"/>
      <c r="G338" s="136"/>
      <c r="H338" s="136"/>
      <c r="I338" s="136"/>
      <c r="J338" s="143"/>
      <c r="K338" s="136"/>
      <c r="L338" s="136"/>
      <c r="M338" s="136"/>
      <c r="N338" s="136"/>
      <c r="O338" s="136"/>
      <c r="P338" s="136"/>
    </row>
    <row r="339" spans="1:16" x14ac:dyDescent="0.2">
      <c r="A339" s="134" t="s">
        <v>765</v>
      </c>
      <c r="B339" s="134"/>
      <c r="C339" s="134" t="s">
        <v>345</v>
      </c>
      <c r="D339" s="134">
        <v>2</v>
      </c>
      <c r="E339" s="136">
        <f t="shared" ref="E339:E340" si="293">SUM(F339:P339)</f>
        <v>1011804.6731000001</v>
      </c>
      <c r="F339" s="136">
        <f>47129*(B$5+1)*12</f>
        <v>605136.3600000001</v>
      </c>
      <c r="G339" s="136">
        <f>F339*0.22</f>
        <v>133129.99920000002</v>
      </c>
      <c r="H339" s="136">
        <f t="shared" ref="H339:H341" si="294">3871*(B$6+1)*12</f>
        <v>49703.64</v>
      </c>
      <c r="I339" s="136">
        <f t="shared" si="282"/>
        <v>8400</v>
      </c>
      <c r="J339" s="143">
        <v>1926</v>
      </c>
      <c r="K339" s="136">
        <f t="shared" si="283"/>
        <v>154800</v>
      </c>
      <c r="L339" s="136">
        <v>93</v>
      </c>
      <c r="M339" s="136">
        <f>(N339+I339+K339+F339)*0.01</f>
        <v>8187.6439000000018</v>
      </c>
      <c r="N339" s="136">
        <f>F339/12</f>
        <v>50428.030000000006</v>
      </c>
      <c r="O339" s="136"/>
      <c r="P339" s="136"/>
    </row>
    <row r="340" spans="1:16" x14ac:dyDescent="0.2">
      <c r="A340" s="134" t="s">
        <v>766</v>
      </c>
      <c r="B340" s="134"/>
      <c r="C340" s="134" t="s">
        <v>77</v>
      </c>
      <c r="D340" s="134" t="s">
        <v>347</v>
      </c>
      <c r="E340" s="136">
        <f t="shared" si="293"/>
        <v>912075.38430000003</v>
      </c>
      <c r="F340" s="136">
        <f>41937*(B$5+1)*12</f>
        <v>538471.08000000007</v>
      </c>
      <c r="G340" s="136">
        <f>F340*0.22</f>
        <v>118463.63760000002</v>
      </c>
      <c r="H340" s="136">
        <f t="shared" si="294"/>
        <v>49703.64</v>
      </c>
      <c r="I340" s="136">
        <f t="shared" si="282"/>
        <v>8400</v>
      </c>
      <c r="J340" s="143">
        <v>1926</v>
      </c>
      <c r="K340" s="136">
        <f>11900*12</f>
        <v>142800</v>
      </c>
      <c r="L340" s="136">
        <v>93</v>
      </c>
      <c r="M340" s="136">
        <f t="shared" ref="M340" si="295">(N340+I340+K340+F340)*0.01</f>
        <v>7345.4367000000002</v>
      </c>
      <c r="N340" s="136">
        <f>F340/12</f>
        <v>44872.590000000004</v>
      </c>
      <c r="O340" s="136"/>
      <c r="P340" s="136"/>
    </row>
    <row r="341" spans="1:16" x14ac:dyDescent="0.2">
      <c r="A341" s="134" t="s">
        <v>767</v>
      </c>
      <c r="B341" s="155"/>
      <c r="C341" s="134" t="s">
        <v>92</v>
      </c>
      <c r="D341" s="134">
        <v>8</v>
      </c>
      <c r="E341" s="136">
        <f t="shared" ref="E341:E344" si="296">SUM(F341:P341)</f>
        <v>531012.11050000007</v>
      </c>
      <c r="F341" s="136">
        <f>21595*(B$5+1)*12</f>
        <v>277279.80000000005</v>
      </c>
      <c r="G341" s="136">
        <f>F341*0.22</f>
        <v>61001.556000000011</v>
      </c>
      <c r="H341" s="136">
        <f t="shared" si="294"/>
        <v>49703.64</v>
      </c>
      <c r="I341" s="136">
        <f t="shared" si="282"/>
        <v>8400</v>
      </c>
      <c r="J341" s="143">
        <v>1926</v>
      </c>
      <c r="K341" s="136">
        <f>8780*12</f>
        <v>105360</v>
      </c>
      <c r="L341" s="136">
        <v>93</v>
      </c>
      <c r="M341" s="136">
        <f t="shared" si="284"/>
        <v>4141.464500000001</v>
      </c>
      <c r="N341" s="136">
        <f>F341/12</f>
        <v>23106.650000000005</v>
      </c>
      <c r="O341" s="136"/>
      <c r="P341" s="136"/>
    </row>
    <row r="342" spans="1:16" x14ac:dyDescent="0.2">
      <c r="A342" s="145"/>
      <c r="B342" s="156"/>
      <c r="C342" s="145"/>
      <c r="D342" s="145"/>
      <c r="E342" s="146"/>
      <c r="F342" s="146"/>
      <c r="G342" s="146"/>
      <c r="H342" s="146"/>
      <c r="I342" s="146"/>
      <c r="J342" s="147"/>
      <c r="K342" s="146"/>
      <c r="L342" s="146"/>
      <c r="M342" s="146"/>
      <c r="N342" s="146"/>
      <c r="O342" s="146"/>
      <c r="P342" s="146"/>
    </row>
    <row r="343" spans="1:16" x14ac:dyDescent="0.2">
      <c r="A343" s="134" t="s">
        <v>329</v>
      </c>
      <c r="B343" s="155"/>
      <c r="C343" s="134"/>
      <c r="D343" s="134"/>
      <c r="E343" s="136">
        <f>SUM(F343:P343)</f>
        <v>0</v>
      </c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</row>
    <row r="344" spans="1:16" x14ac:dyDescent="0.2">
      <c r="A344" s="134" t="s">
        <v>164</v>
      </c>
      <c r="B344" s="161"/>
      <c r="C344" s="134" t="s">
        <v>164</v>
      </c>
      <c r="D344" s="134"/>
      <c r="E344" s="136">
        <f t="shared" si="296"/>
        <v>32400</v>
      </c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>
        <v>32400</v>
      </c>
    </row>
    <row r="345" spans="1:16" ht="12" thickBot="1" x14ac:dyDescent="0.25">
      <c r="A345" s="134" t="s">
        <v>172</v>
      </c>
      <c r="B345" s="134"/>
      <c r="C345" s="134"/>
      <c r="D345" s="134"/>
      <c r="E345" s="149">
        <f>SUM(E327:E344)</f>
        <v>6322393.4673000006</v>
      </c>
      <c r="F345" s="149">
        <f t="shared" ref="F345:P345" si="297">SUM(F327:F344)</f>
        <v>3673613.8800000008</v>
      </c>
      <c r="G345" s="149">
        <f t="shared" si="297"/>
        <v>808195.0536000001</v>
      </c>
      <c r="H345" s="149">
        <f t="shared" si="297"/>
        <v>447332.76000000007</v>
      </c>
      <c r="I345" s="149">
        <f t="shared" si="297"/>
        <v>75600</v>
      </c>
      <c r="J345" s="149">
        <f t="shared" si="297"/>
        <v>17334</v>
      </c>
      <c r="K345" s="149">
        <f t="shared" si="297"/>
        <v>911280</v>
      </c>
      <c r="L345" s="149">
        <f t="shared" si="297"/>
        <v>837</v>
      </c>
      <c r="M345" s="149">
        <f t="shared" si="297"/>
        <v>49666.283700000007</v>
      </c>
      <c r="N345" s="149">
        <f t="shared" si="297"/>
        <v>306134.49000000005</v>
      </c>
      <c r="O345" s="149">
        <f t="shared" si="297"/>
        <v>0</v>
      </c>
      <c r="P345" s="149">
        <f t="shared" si="297"/>
        <v>32400</v>
      </c>
    </row>
    <row r="346" spans="1:16" ht="12" thickTop="1" x14ac:dyDescent="0.2">
      <c r="A346" s="134"/>
      <c r="B346" s="134"/>
      <c r="C346" s="134" t="s">
        <v>199</v>
      </c>
      <c r="D346" s="167" t="s">
        <v>443</v>
      </c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</row>
    <row r="347" spans="1:16" x14ac:dyDescent="0.2">
      <c r="A347" s="135" t="s">
        <v>322</v>
      </c>
      <c r="B347" s="134"/>
      <c r="C347" s="134"/>
      <c r="D347" s="134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</row>
    <row r="348" spans="1:16" x14ac:dyDescent="0.2">
      <c r="A348" s="134"/>
      <c r="B348" s="134"/>
      <c r="C348" s="134" t="s">
        <v>176</v>
      </c>
      <c r="D348" s="134" t="s">
        <v>177</v>
      </c>
      <c r="E348" s="141" t="s">
        <v>178</v>
      </c>
      <c r="F348" s="141" t="s">
        <v>179</v>
      </c>
      <c r="G348" s="141" t="s">
        <v>180</v>
      </c>
      <c r="H348" s="141" t="s">
        <v>181</v>
      </c>
      <c r="I348" s="141" t="s">
        <v>182</v>
      </c>
      <c r="J348" s="141" t="s">
        <v>183</v>
      </c>
      <c r="K348" s="141" t="s">
        <v>184</v>
      </c>
      <c r="L348" s="141" t="s">
        <v>185</v>
      </c>
      <c r="M348" s="141" t="s">
        <v>186</v>
      </c>
      <c r="N348" s="141" t="s">
        <v>187</v>
      </c>
      <c r="O348" s="141"/>
      <c r="P348" s="136" t="s">
        <v>164</v>
      </c>
    </row>
    <row r="349" spans="1:16" x14ac:dyDescent="0.2">
      <c r="A349" s="134"/>
      <c r="B349" s="134"/>
      <c r="C349" s="134"/>
      <c r="D349" s="134" t="s">
        <v>188</v>
      </c>
      <c r="E349" s="141" t="s">
        <v>189</v>
      </c>
      <c r="F349" s="136"/>
      <c r="G349" s="141" t="s">
        <v>190</v>
      </c>
      <c r="H349" s="141" t="s">
        <v>190</v>
      </c>
      <c r="I349" s="141" t="s">
        <v>191</v>
      </c>
      <c r="J349" s="136"/>
      <c r="K349" s="141" t="s">
        <v>192</v>
      </c>
      <c r="L349" s="141" t="s">
        <v>193</v>
      </c>
      <c r="M349" s="141" t="s">
        <v>194</v>
      </c>
      <c r="N349" s="141" t="s">
        <v>195</v>
      </c>
      <c r="O349" s="141"/>
      <c r="P349" s="136"/>
    </row>
    <row r="350" spans="1:16" x14ac:dyDescent="0.2">
      <c r="A350" s="134" t="s">
        <v>414</v>
      </c>
      <c r="B350" s="155"/>
      <c r="C350" s="134" t="s">
        <v>346</v>
      </c>
      <c r="D350" s="134">
        <v>2</v>
      </c>
      <c r="E350" s="136">
        <f t="shared" ref="E350" si="298">SUM(F350:P350)</f>
        <v>1011804.6731000001</v>
      </c>
      <c r="F350" s="136">
        <f>47129*(B$5+1)*12</f>
        <v>605136.3600000001</v>
      </c>
      <c r="G350" s="136">
        <f>F350*0.22</f>
        <v>133129.99920000002</v>
      </c>
      <c r="H350" s="136">
        <f t="shared" si="262"/>
        <v>49703.64</v>
      </c>
      <c r="I350" s="136">
        <f t="shared" si="259"/>
        <v>8400</v>
      </c>
      <c r="J350" s="143">
        <v>1926</v>
      </c>
      <c r="K350" s="136">
        <f t="shared" ref="K350" si="299">12900*12</f>
        <v>154800</v>
      </c>
      <c r="L350" s="136">
        <v>93</v>
      </c>
      <c r="M350" s="136">
        <f>(N350+I350+K350+F350)*0.01</f>
        <v>8187.6439000000018</v>
      </c>
      <c r="N350" s="136">
        <f>F350/12</f>
        <v>50428.030000000006</v>
      </c>
      <c r="O350" s="141"/>
      <c r="P350" s="136"/>
    </row>
    <row r="351" spans="1:16" x14ac:dyDescent="0.2">
      <c r="A351" s="134" t="s">
        <v>52</v>
      </c>
      <c r="B351" s="155"/>
      <c r="C351" s="134" t="s">
        <v>70</v>
      </c>
      <c r="D351" s="134">
        <v>3</v>
      </c>
      <c r="E351" s="136">
        <f>SUM(F351:P351)</f>
        <v>912075.38430000003</v>
      </c>
      <c r="F351" s="136">
        <f>41937*(B$5+1)*12</f>
        <v>538471.08000000007</v>
      </c>
      <c r="G351" s="136">
        <f>F351*0.22</f>
        <v>118463.63760000002</v>
      </c>
      <c r="H351" s="136">
        <f t="shared" si="250"/>
        <v>49703.64</v>
      </c>
      <c r="I351" s="136">
        <f t="shared" si="251"/>
        <v>8400</v>
      </c>
      <c r="J351" s="143">
        <v>1926</v>
      </c>
      <c r="K351" s="136">
        <f>11900*12</f>
        <v>142800</v>
      </c>
      <c r="L351" s="136">
        <v>93</v>
      </c>
      <c r="M351" s="136">
        <f>(N351+I351+K351+F351)*0.01</f>
        <v>7345.4367000000002</v>
      </c>
      <c r="N351" s="136">
        <f>F351/12</f>
        <v>44872.590000000004</v>
      </c>
      <c r="O351" s="136"/>
      <c r="P351" s="136"/>
    </row>
    <row r="352" spans="1:16" x14ac:dyDescent="0.2">
      <c r="A352" s="134" t="s">
        <v>367</v>
      </c>
      <c r="B352" s="155"/>
      <c r="C352" s="134" t="s">
        <v>32</v>
      </c>
      <c r="D352" s="134">
        <v>8</v>
      </c>
      <c r="E352" s="136">
        <f t="shared" ref="E352:E355" si="300">SUM(F352:P352)</f>
        <v>507499.31050000008</v>
      </c>
      <c r="F352" s="136">
        <f>21595*(B$5+1)*12</f>
        <v>277279.80000000005</v>
      </c>
      <c r="G352" s="136">
        <f>F352*0.22</f>
        <v>61001.556000000011</v>
      </c>
      <c r="H352" s="136">
        <f t="shared" si="262"/>
        <v>49703.64</v>
      </c>
      <c r="I352" s="136">
        <f t="shared" si="259"/>
        <v>8400</v>
      </c>
      <c r="J352" s="143">
        <v>1926</v>
      </c>
      <c r="K352" s="136">
        <f>6840*12</f>
        <v>82080</v>
      </c>
      <c r="L352" s="136">
        <v>93</v>
      </c>
      <c r="M352" s="136">
        <f>(N352+I352+K352+F352)*0.01</f>
        <v>3908.6645000000008</v>
      </c>
      <c r="N352" s="136">
        <f>F352/12</f>
        <v>23106.650000000005</v>
      </c>
      <c r="O352" s="136"/>
      <c r="P352" s="136"/>
    </row>
    <row r="353" spans="1:16" x14ac:dyDescent="0.2">
      <c r="A353" s="134"/>
      <c r="B353" s="134"/>
      <c r="C353" s="134"/>
      <c r="D353" s="134"/>
      <c r="E353" s="136">
        <f t="shared" si="300"/>
        <v>0</v>
      </c>
      <c r="F353" s="136"/>
      <c r="G353" s="136"/>
      <c r="H353" s="136"/>
      <c r="I353" s="136"/>
      <c r="J353" s="143"/>
      <c r="K353" s="136"/>
      <c r="L353" s="136"/>
      <c r="M353" s="136"/>
      <c r="N353" s="136"/>
      <c r="O353" s="136"/>
      <c r="P353" s="136"/>
    </row>
    <row r="354" spans="1:16" x14ac:dyDescent="0.2">
      <c r="A354" s="134"/>
      <c r="B354" s="134"/>
      <c r="C354" s="134"/>
      <c r="D354" s="134"/>
      <c r="E354" s="136">
        <f t="shared" si="300"/>
        <v>0</v>
      </c>
      <c r="F354" s="136"/>
      <c r="G354" s="136"/>
      <c r="H354" s="136"/>
      <c r="I354" s="136"/>
      <c r="J354" s="143"/>
      <c r="K354" s="136"/>
      <c r="L354" s="136"/>
      <c r="M354" s="136"/>
      <c r="N354" s="136"/>
      <c r="O354" s="136"/>
      <c r="P354" s="136"/>
    </row>
    <row r="355" spans="1:16" x14ac:dyDescent="0.2">
      <c r="A355" s="134" t="s">
        <v>329</v>
      </c>
      <c r="B355" s="134"/>
      <c r="C355" s="134"/>
      <c r="D355" s="134"/>
      <c r="E355" s="136">
        <f t="shared" si="300"/>
        <v>0</v>
      </c>
      <c r="F355" s="136"/>
      <c r="G355" s="136"/>
      <c r="H355" s="136"/>
      <c r="I355" s="136"/>
      <c r="J355" s="143"/>
      <c r="K355" s="136"/>
      <c r="L355" s="136"/>
      <c r="M355" s="136"/>
      <c r="N355" s="136"/>
      <c r="O355" s="136"/>
      <c r="P355" s="136"/>
    </row>
    <row r="356" spans="1:16" x14ac:dyDescent="0.2">
      <c r="A356" s="134"/>
      <c r="B356" s="134"/>
      <c r="C356" s="134" t="s">
        <v>164</v>
      </c>
      <c r="D356" s="134"/>
      <c r="E356" s="136">
        <f t="shared" ref="E356" si="301">SUM(F356:P356)</f>
        <v>8500</v>
      </c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>
        <v>8500</v>
      </c>
    </row>
    <row r="357" spans="1:16" ht="12" thickBot="1" x14ac:dyDescent="0.25">
      <c r="A357" s="134"/>
      <c r="B357" s="134"/>
      <c r="C357" s="134"/>
      <c r="D357" s="134"/>
      <c r="E357" s="149">
        <f t="shared" ref="E357:N357" si="302">SUM(E350:E356)</f>
        <v>2439879.3679000004</v>
      </c>
      <c r="F357" s="149">
        <f t="shared" si="302"/>
        <v>1420887.2400000002</v>
      </c>
      <c r="G357" s="149">
        <f t="shared" si="302"/>
        <v>312595.19280000008</v>
      </c>
      <c r="H357" s="149">
        <f t="shared" si="302"/>
        <v>149110.91999999998</v>
      </c>
      <c r="I357" s="149">
        <f t="shared" si="302"/>
        <v>25200</v>
      </c>
      <c r="J357" s="149">
        <f t="shared" si="302"/>
        <v>5778</v>
      </c>
      <c r="K357" s="149">
        <f t="shared" si="302"/>
        <v>379680</v>
      </c>
      <c r="L357" s="149">
        <f t="shared" si="302"/>
        <v>279</v>
      </c>
      <c r="M357" s="149">
        <f t="shared" si="302"/>
        <v>19441.7451</v>
      </c>
      <c r="N357" s="149">
        <f t="shared" si="302"/>
        <v>118407.27000000002</v>
      </c>
      <c r="O357" s="152"/>
      <c r="P357" s="136"/>
    </row>
    <row r="358" spans="1:16" ht="12" thickTop="1" x14ac:dyDescent="0.2">
      <c r="A358" s="134"/>
      <c r="B358" s="134"/>
      <c r="C358" s="134" t="s">
        <v>199</v>
      </c>
      <c r="D358" s="134">
        <f>COUNT(D347:D357)</f>
        <v>3</v>
      </c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</row>
    <row r="359" spans="1:16" x14ac:dyDescent="0.2">
      <c r="A359" s="134"/>
      <c r="B359" s="134"/>
      <c r="C359" s="134"/>
      <c r="D359" s="134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</row>
    <row r="360" spans="1:16" x14ac:dyDescent="0.2">
      <c r="A360" s="173" t="s">
        <v>221</v>
      </c>
      <c r="B360" s="134"/>
      <c r="C360" s="134"/>
      <c r="D360" s="134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</row>
    <row r="361" spans="1:16" x14ac:dyDescent="0.2">
      <c r="A361" s="134"/>
      <c r="B361" s="134"/>
      <c r="C361" s="134" t="s">
        <v>176</v>
      </c>
      <c r="D361" s="134" t="s">
        <v>177</v>
      </c>
      <c r="E361" s="141" t="s">
        <v>178</v>
      </c>
      <c r="F361" s="141" t="s">
        <v>179</v>
      </c>
      <c r="G361" s="141" t="s">
        <v>180</v>
      </c>
      <c r="H361" s="141" t="s">
        <v>181</v>
      </c>
      <c r="I361" s="141" t="s">
        <v>182</v>
      </c>
      <c r="J361" s="141" t="s">
        <v>183</v>
      </c>
      <c r="K361" s="141" t="s">
        <v>184</v>
      </c>
      <c r="L361" s="141" t="s">
        <v>185</v>
      </c>
      <c r="M361" s="141" t="s">
        <v>186</v>
      </c>
      <c r="N361" s="141" t="s">
        <v>187</v>
      </c>
      <c r="O361" s="141" t="s">
        <v>372</v>
      </c>
      <c r="P361" s="136" t="s">
        <v>164</v>
      </c>
    </row>
    <row r="362" spans="1:16" x14ac:dyDescent="0.2">
      <c r="A362" s="134"/>
      <c r="B362" s="134"/>
      <c r="C362" s="134"/>
      <c r="D362" s="134" t="s">
        <v>188</v>
      </c>
      <c r="E362" s="141" t="s">
        <v>189</v>
      </c>
      <c r="F362" s="136"/>
      <c r="G362" s="141" t="s">
        <v>190</v>
      </c>
      <c r="H362" s="141" t="s">
        <v>190</v>
      </c>
      <c r="I362" s="141" t="s">
        <v>191</v>
      </c>
      <c r="J362" s="136"/>
      <c r="K362" s="141" t="s">
        <v>192</v>
      </c>
      <c r="L362" s="141" t="s">
        <v>193</v>
      </c>
      <c r="M362" s="141" t="s">
        <v>194</v>
      </c>
      <c r="N362" s="141" t="s">
        <v>195</v>
      </c>
      <c r="O362" s="141" t="s">
        <v>192</v>
      </c>
      <c r="P362" s="136"/>
    </row>
    <row r="363" spans="1:16" x14ac:dyDescent="0.2">
      <c r="A363" s="134"/>
      <c r="B363" s="134"/>
      <c r="C363" s="134"/>
      <c r="D363" s="134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</row>
    <row r="364" spans="1:16" x14ac:dyDescent="0.2">
      <c r="A364" s="153" t="s">
        <v>136</v>
      </c>
      <c r="B364" s="134"/>
      <c r="C364" s="134" t="s">
        <v>548</v>
      </c>
      <c r="D364" s="134">
        <v>0</v>
      </c>
      <c r="E364" s="136">
        <f>SUM(F364:P364)</f>
        <v>1698656.5182</v>
      </c>
      <c r="F364" s="136">
        <f>83607*(B$5+1)*12</f>
        <v>1073513.8800000001</v>
      </c>
      <c r="G364" s="136">
        <f>79569+(79569*9.5%)</f>
        <v>87128.054999999993</v>
      </c>
      <c r="H364" s="136">
        <f t="shared" ref="H364:H366" si="303">3871*(B$6+1)*12</f>
        <v>49703.64</v>
      </c>
      <c r="I364" s="136">
        <f>0*12</f>
        <v>0</v>
      </c>
      <c r="J364" s="143">
        <v>1926</v>
      </c>
      <c r="K364" s="136">
        <f>28000*12</f>
        <v>336000</v>
      </c>
      <c r="L364" s="136">
        <v>93</v>
      </c>
      <c r="M364" s="136">
        <v>0</v>
      </c>
      <c r="N364" s="136">
        <f>F364*0.14</f>
        <v>150291.94320000004</v>
      </c>
      <c r="O364" s="136"/>
      <c r="P364" s="136"/>
    </row>
    <row r="365" spans="1:16" x14ac:dyDescent="0.2">
      <c r="A365" s="134" t="s">
        <v>397</v>
      </c>
      <c r="B365" s="134"/>
      <c r="C365" s="134" t="s">
        <v>398</v>
      </c>
      <c r="D365" s="134">
        <v>5</v>
      </c>
      <c r="E365" s="136">
        <f t="shared" ref="E365" si="304">SUM(F365:P365)</f>
        <v>596779.78610000003</v>
      </c>
      <c r="F365" s="136">
        <f>31799*(B$5+1)*12</f>
        <v>408299.16000000003</v>
      </c>
      <c r="G365" s="136">
        <f t="shared" ref="G365:G366" si="305">F365*0.22</f>
        <v>89825.815200000012</v>
      </c>
      <c r="H365" s="136">
        <f t="shared" si="303"/>
        <v>49703.64</v>
      </c>
      <c r="I365" s="136">
        <f t="shared" ref="I365:I366" si="306">700*12</f>
        <v>8400</v>
      </c>
      <c r="J365" s="143">
        <v>1926</v>
      </c>
      <c r="K365" s="136"/>
      <c r="L365" s="136">
        <v>93</v>
      </c>
      <c r="M365" s="136">
        <f t="shared" ref="M365" si="307">(N365+I365+K365+F365)*0.01</f>
        <v>4507.2409000000007</v>
      </c>
      <c r="N365" s="136">
        <f>F365/12</f>
        <v>34024.93</v>
      </c>
      <c r="O365" s="136"/>
      <c r="P365" s="136"/>
    </row>
    <row r="366" spans="1:16" x14ac:dyDescent="0.2">
      <c r="A366" s="134" t="s">
        <v>486</v>
      </c>
      <c r="B366" s="134"/>
      <c r="C366" s="134" t="s">
        <v>524</v>
      </c>
      <c r="D366" s="134">
        <v>8</v>
      </c>
      <c r="E366" s="136">
        <f t="shared" ref="E366" si="308">SUM(F366:P366)</f>
        <v>390074.5111</v>
      </c>
      <c r="F366" s="136">
        <f>19549*(B$5+1)*12</f>
        <v>251009.16</v>
      </c>
      <c r="G366" s="136">
        <f t="shared" si="305"/>
        <v>55222.015200000002</v>
      </c>
      <c r="H366" s="136">
        <f t="shared" si="303"/>
        <v>49703.64</v>
      </c>
      <c r="I366" s="136">
        <f t="shared" si="306"/>
        <v>8400</v>
      </c>
      <c r="J366" s="143">
        <v>1926</v>
      </c>
      <c r="K366" s="136"/>
      <c r="L366" s="136">
        <v>93</v>
      </c>
      <c r="M366" s="136">
        <f>(N366+I366+K366+F366)*0.01</f>
        <v>2803.2659000000003</v>
      </c>
      <c r="N366" s="136">
        <f t="shared" ref="N366" si="309">F366/12</f>
        <v>20917.43</v>
      </c>
      <c r="O366" s="136"/>
      <c r="P366" s="136"/>
    </row>
    <row r="367" spans="1:16" x14ac:dyDescent="0.2">
      <c r="A367" s="134"/>
      <c r="B367" s="134"/>
      <c r="C367" s="134"/>
      <c r="D367" s="134"/>
      <c r="E367" s="136"/>
      <c r="F367" s="136"/>
      <c r="G367" s="136"/>
      <c r="H367" s="136"/>
      <c r="I367" s="136"/>
      <c r="J367" s="143"/>
      <c r="K367" s="136"/>
      <c r="L367" s="136"/>
      <c r="M367" s="136"/>
      <c r="N367" s="136"/>
      <c r="O367" s="136"/>
      <c r="P367" s="136"/>
    </row>
    <row r="368" spans="1:16" x14ac:dyDescent="0.2">
      <c r="A368" s="166" t="s">
        <v>566</v>
      </c>
      <c r="B368" s="134"/>
      <c r="C368" s="134"/>
      <c r="D368" s="134"/>
      <c r="E368" s="136"/>
      <c r="F368" s="136"/>
      <c r="G368" s="136"/>
      <c r="H368" s="136"/>
      <c r="I368" s="136"/>
      <c r="J368" s="143"/>
      <c r="K368" s="136"/>
      <c r="L368" s="136"/>
      <c r="M368" s="136"/>
      <c r="N368" s="136"/>
      <c r="O368" s="136"/>
      <c r="P368" s="136"/>
    </row>
    <row r="369" spans="1:16" x14ac:dyDescent="0.2">
      <c r="A369" s="166"/>
      <c r="B369" s="134"/>
      <c r="C369" s="134"/>
      <c r="D369" s="134"/>
      <c r="E369" s="136"/>
      <c r="F369" s="136"/>
      <c r="G369" s="136"/>
      <c r="H369" s="136"/>
      <c r="I369" s="136"/>
      <c r="J369" s="143"/>
      <c r="K369" s="136"/>
      <c r="L369" s="136"/>
      <c r="M369" s="136"/>
      <c r="N369" s="136"/>
      <c r="O369" s="136"/>
      <c r="P369" s="136"/>
    </row>
    <row r="370" spans="1:16" x14ac:dyDescent="0.2">
      <c r="A370" s="154" t="s">
        <v>549</v>
      </c>
      <c r="B370" s="145"/>
      <c r="C370" s="145" t="s">
        <v>34</v>
      </c>
      <c r="D370" s="145">
        <v>0</v>
      </c>
      <c r="E370" s="146">
        <f>SUM(F370:P370)</f>
        <v>0</v>
      </c>
      <c r="F370" s="146"/>
      <c r="G370" s="146"/>
      <c r="H370" s="146"/>
      <c r="I370" s="146"/>
      <c r="J370" s="147"/>
      <c r="K370" s="136"/>
      <c r="L370" s="146"/>
      <c r="M370" s="146"/>
      <c r="N370" s="146"/>
      <c r="O370" s="146"/>
      <c r="P370" s="146"/>
    </row>
    <row r="371" spans="1:16" x14ac:dyDescent="0.2">
      <c r="A371" s="154" t="s">
        <v>699</v>
      </c>
      <c r="B371" s="145"/>
      <c r="C371" s="145" t="s">
        <v>34</v>
      </c>
      <c r="D371" s="145">
        <v>8</v>
      </c>
      <c r="E371" s="146"/>
      <c r="F371" s="146"/>
      <c r="G371" s="146"/>
      <c r="H371" s="146"/>
      <c r="I371" s="146"/>
      <c r="J371" s="147"/>
      <c r="K371" s="136"/>
      <c r="L371" s="146"/>
      <c r="M371" s="146"/>
      <c r="N371" s="146"/>
      <c r="O371" s="146"/>
      <c r="P371" s="146"/>
    </row>
    <row r="372" spans="1:16" x14ac:dyDescent="0.2">
      <c r="A372" s="154"/>
      <c r="B372" s="145"/>
      <c r="C372" s="145"/>
      <c r="D372" s="145"/>
      <c r="E372" s="146"/>
      <c r="F372" s="146"/>
      <c r="G372" s="146"/>
      <c r="H372" s="146"/>
      <c r="I372" s="146"/>
      <c r="J372" s="147"/>
      <c r="K372" s="136"/>
      <c r="L372" s="146"/>
      <c r="M372" s="146"/>
      <c r="N372" s="146"/>
      <c r="O372" s="146"/>
      <c r="P372" s="146"/>
    </row>
    <row r="373" spans="1:16" x14ac:dyDescent="0.2">
      <c r="A373" s="134" t="s">
        <v>688</v>
      </c>
      <c r="B373" s="134"/>
      <c r="C373" s="134" t="s">
        <v>360</v>
      </c>
      <c r="D373" s="134">
        <v>2</v>
      </c>
      <c r="E373" s="136">
        <f t="shared" ref="E373" si="310">SUM(F373:P373)</f>
        <v>1011804.6731000001</v>
      </c>
      <c r="F373" s="136">
        <f>47129*(B$5+1)*12</f>
        <v>605136.3600000001</v>
      </c>
      <c r="G373" s="136">
        <f t="shared" ref="G373" si="311">F373*0.22</f>
        <v>133129.99920000002</v>
      </c>
      <c r="H373" s="136">
        <f t="shared" ref="H373" si="312">3871*(B$6+1)*12</f>
        <v>49703.64</v>
      </c>
      <c r="I373" s="136">
        <f>700*12</f>
        <v>8400</v>
      </c>
      <c r="J373" s="143">
        <v>1926</v>
      </c>
      <c r="K373" s="136">
        <f t="shared" ref="K373" si="313">12900*12</f>
        <v>154800</v>
      </c>
      <c r="L373" s="136">
        <v>93</v>
      </c>
      <c r="M373" s="136">
        <f>(N373+I373+K373+F373)*0.01</f>
        <v>8187.6439000000018</v>
      </c>
      <c r="N373" s="136">
        <f t="shared" ref="N373" si="314">F373/12</f>
        <v>50428.030000000006</v>
      </c>
      <c r="O373" s="136"/>
      <c r="P373" s="136"/>
    </row>
    <row r="374" spans="1:16" x14ac:dyDescent="0.2">
      <c r="A374" s="134" t="s">
        <v>691</v>
      </c>
      <c r="B374" s="134"/>
      <c r="C374" s="134" t="s">
        <v>419</v>
      </c>
      <c r="D374" s="174">
        <v>3</v>
      </c>
      <c r="E374" s="136">
        <f t="shared" ref="E374" si="315">SUM(F374:P374)</f>
        <v>912075.38430000003</v>
      </c>
      <c r="F374" s="136">
        <f>41937*(B$5+1)*12</f>
        <v>538471.08000000007</v>
      </c>
      <c r="G374" s="136">
        <f>F374*0.22</f>
        <v>118463.63760000002</v>
      </c>
      <c r="H374" s="136">
        <f t="shared" ref="H374:H378" si="316">3871*(B$6+1)*12</f>
        <v>49703.64</v>
      </c>
      <c r="I374" s="136">
        <f t="shared" ref="I374:I378" si="317">700*12</f>
        <v>8400</v>
      </c>
      <c r="J374" s="143">
        <v>1926</v>
      </c>
      <c r="K374" s="136">
        <f>11900*12</f>
        <v>142800</v>
      </c>
      <c r="L374" s="136">
        <v>93</v>
      </c>
      <c r="M374" s="136">
        <f t="shared" ref="M374:M375" si="318">(N374+I374+K374+F374)*0.01</f>
        <v>7345.4367000000002</v>
      </c>
      <c r="N374" s="136">
        <f>F374/12</f>
        <v>44872.590000000004</v>
      </c>
      <c r="O374" s="136"/>
      <c r="P374" s="136"/>
    </row>
    <row r="375" spans="1:16" x14ac:dyDescent="0.2">
      <c r="A375" s="134" t="s">
        <v>692</v>
      </c>
      <c r="B375" s="134"/>
      <c r="C375" s="134" t="s">
        <v>418</v>
      </c>
      <c r="D375" s="174">
        <v>3</v>
      </c>
      <c r="E375" s="136">
        <f t="shared" ref="E375" si="319">SUM(F375:P375)</f>
        <v>912075.38430000003</v>
      </c>
      <c r="F375" s="136">
        <f>41937*(B$5+1)*12</f>
        <v>538471.08000000007</v>
      </c>
      <c r="G375" s="136">
        <f>F375*0.22</f>
        <v>118463.63760000002</v>
      </c>
      <c r="H375" s="136">
        <f t="shared" si="316"/>
        <v>49703.64</v>
      </c>
      <c r="I375" s="136">
        <f t="shared" si="317"/>
        <v>8400</v>
      </c>
      <c r="J375" s="143">
        <v>1926</v>
      </c>
      <c r="K375" s="136">
        <f t="shared" ref="K375" si="320">11900*12</f>
        <v>142800</v>
      </c>
      <c r="L375" s="136">
        <v>93</v>
      </c>
      <c r="M375" s="136">
        <f t="shared" si="318"/>
        <v>7345.4367000000002</v>
      </c>
      <c r="N375" s="136">
        <f>F375/12</f>
        <v>44872.590000000004</v>
      </c>
      <c r="O375" s="136"/>
      <c r="P375" s="136"/>
    </row>
    <row r="376" spans="1:16" x14ac:dyDescent="0.2">
      <c r="A376" s="134" t="s">
        <v>45</v>
      </c>
      <c r="B376" s="134"/>
      <c r="C376" s="134" t="s">
        <v>72</v>
      </c>
      <c r="D376" s="134">
        <v>5</v>
      </c>
      <c r="E376" s="136">
        <f t="shared" ref="E376" si="321">SUM(F376:P376)</f>
        <v>715422.54520000005</v>
      </c>
      <c r="F376" s="136">
        <f>31799*(B$5+1)*12</f>
        <v>408299.16000000003</v>
      </c>
      <c r="G376" s="136">
        <f t="shared" ref="G376" si="322">F376*0.22</f>
        <v>89825.815200000012</v>
      </c>
      <c r="H376" s="136">
        <f t="shared" si="316"/>
        <v>49703.64</v>
      </c>
      <c r="I376" s="136">
        <f t="shared" si="317"/>
        <v>8400</v>
      </c>
      <c r="J376" s="143">
        <v>1926</v>
      </c>
      <c r="K376" s="136">
        <f t="shared" ref="K376" si="323">10080*12</f>
        <v>120960</v>
      </c>
      <c r="L376" s="136">
        <v>93</v>
      </c>
      <c r="M376" s="136">
        <v>2190</v>
      </c>
      <c r="N376" s="136">
        <f t="shared" ref="N376" si="324">F376/12</f>
        <v>34024.93</v>
      </c>
      <c r="O376" s="136"/>
      <c r="P376" s="136"/>
    </row>
    <row r="377" spans="1:16" x14ac:dyDescent="0.2">
      <c r="A377" s="134" t="s">
        <v>500</v>
      </c>
      <c r="B377" s="134"/>
      <c r="C377" s="134" t="s">
        <v>501</v>
      </c>
      <c r="D377" s="134">
        <v>7</v>
      </c>
      <c r="E377" s="136">
        <f t="shared" ref="E377" si="325">SUM(F377:P377)</f>
        <v>451512.38100000005</v>
      </c>
      <c r="F377" s="136">
        <f>23190*(B$5+1)*12</f>
        <v>297759.60000000003</v>
      </c>
      <c r="G377" s="136">
        <f t="shared" ref="G377:G378" si="326">F377*0.22</f>
        <v>65507.112000000008</v>
      </c>
      <c r="H377" s="136">
        <f t="shared" si="316"/>
        <v>49703.64</v>
      </c>
      <c r="I377" s="136">
        <f t="shared" si="317"/>
        <v>8400</v>
      </c>
      <c r="J377" s="143">
        <v>1926</v>
      </c>
      <c r="K377" s="136">
        <f>0*12</f>
        <v>0</v>
      </c>
      <c r="L377" s="136">
        <v>93</v>
      </c>
      <c r="M377" s="136">
        <f t="shared" ref="M377:M378" si="327">(N377+I377+K377+F377)*0.01</f>
        <v>3309.7290000000003</v>
      </c>
      <c r="N377" s="136">
        <f t="shared" ref="N377:N378" si="328">F377/12</f>
        <v>24813.300000000003</v>
      </c>
      <c r="O377" s="136"/>
      <c r="P377" s="136"/>
    </row>
    <row r="378" spans="1:16" x14ac:dyDescent="0.2">
      <c r="A378" s="134" t="s">
        <v>683</v>
      </c>
      <c r="B378" s="134"/>
      <c r="C378" s="134" t="s">
        <v>536</v>
      </c>
      <c r="D378" s="134">
        <v>8</v>
      </c>
      <c r="E378" s="136">
        <f t="shared" ref="E378" si="329">SUM(F378:P378)</f>
        <v>531012.11050000007</v>
      </c>
      <c r="F378" s="136">
        <f>21595*(B$5+1)*12</f>
        <v>277279.80000000005</v>
      </c>
      <c r="G378" s="136">
        <f t="shared" si="326"/>
        <v>61001.556000000011</v>
      </c>
      <c r="H378" s="136">
        <f t="shared" si="316"/>
        <v>49703.64</v>
      </c>
      <c r="I378" s="136">
        <f t="shared" si="317"/>
        <v>8400</v>
      </c>
      <c r="J378" s="143">
        <v>1926</v>
      </c>
      <c r="K378" s="136">
        <f t="shared" ref="K378" si="330">8780*12</f>
        <v>105360</v>
      </c>
      <c r="L378" s="136">
        <v>93</v>
      </c>
      <c r="M378" s="136">
        <f t="shared" si="327"/>
        <v>4141.464500000001</v>
      </c>
      <c r="N378" s="136">
        <f t="shared" si="328"/>
        <v>23106.650000000005</v>
      </c>
      <c r="O378" s="136"/>
      <c r="P378" s="136"/>
    </row>
    <row r="379" spans="1:16" x14ac:dyDescent="0.2">
      <c r="A379" s="134"/>
      <c r="B379" s="134"/>
      <c r="C379" s="134"/>
      <c r="D379" s="134"/>
      <c r="E379" s="136"/>
      <c r="F379" s="136"/>
      <c r="G379" s="136"/>
      <c r="H379" s="136"/>
      <c r="I379" s="136"/>
      <c r="J379" s="143"/>
      <c r="K379" s="136"/>
      <c r="L379" s="136"/>
      <c r="M379" s="136"/>
      <c r="N379" s="136"/>
      <c r="O379" s="136"/>
      <c r="P379" s="136"/>
    </row>
    <row r="380" spans="1:16" x14ac:dyDescent="0.2">
      <c r="A380" s="133" t="s">
        <v>700</v>
      </c>
      <c r="B380" s="134"/>
      <c r="C380" s="134"/>
      <c r="D380" s="134"/>
      <c r="E380" s="136"/>
      <c r="F380" s="136"/>
      <c r="G380" s="136"/>
      <c r="H380" s="136"/>
      <c r="I380" s="136"/>
      <c r="J380" s="143"/>
      <c r="K380" s="136"/>
      <c r="L380" s="136"/>
      <c r="M380" s="136"/>
      <c r="N380" s="136"/>
      <c r="O380" s="136"/>
      <c r="P380" s="136"/>
    </row>
    <row r="381" spans="1:16" x14ac:dyDescent="0.2">
      <c r="A381" s="133"/>
      <c r="B381" s="134"/>
      <c r="C381" s="134"/>
      <c r="D381" s="134"/>
      <c r="E381" s="136"/>
      <c r="F381" s="136"/>
      <c r="G381" s="136"/>
      <c r="H381" s="136"/>
      <c r="I381" s="136"/>
      <c r="J381" s="143"/>
      <c r="K381" s="136"/>
      <c r="L381" s="136"/>
      <c r="M381" s="136"/>
      <c r="N381" s="136"/>
      <c r="O381" s="136"/>
      <c r="P381" s="136"/>
    </row>
    <row r="382" spans="1:16" x14ac:dyDescent="0.2">
      <c r="A382" s="134" t="s">
        <v>701</v>
      </c>
      <c r="B382" s="134"/>
      <c r="C382" s="134" t="s">
        <v>362</v>
      </c>
      <c r="D382" s="134">
        <v>2</v>
      </c>
      <c r="E382" s="136">
        <f t="shared" ref="E382" si="331">SUM(F382:P382)</f>
        <v>1011804.6731000001</v>
      </c>
      <c r="F382" s="136">
        <f>47129*(B$5+1)*12</f>
        <v>605136.3600000001</v>
      </c>
      <c r="G382" s="136">
        <f t="shared" ref="G382" si="332">F382*0.22</f>
        <v>133129.99920000002</v>
      </c>
      <c r="H382" s="136">
        <f t="shared" ref="H382" si="333">3871*(B$6+1)*12</f>
        <v>49703.64</v>
      </c>
      <c r="I382" s="136">
        <f>700*12</f>
        <v>8400</v>
      </c>
      <c r="J382" s="143">
        <v>1926</v>
      </c>
      <c r="K382" s="136">
        <f t="shared" ref="K382" si="334">12900*12</f>
        <v>154800</v>
      </c>
      <c r="L382" s="136">
        <v>93</v>
      </c>
      <c r="M382" s="136">
        <f>(N382+I382+K382+F382)*0.01</f>
        <v>8187.6439000000018</v>
      </c>
      <c r="N382" s="136">
        <f t="shared" ref="N382" si="335">F382/12</f>
        <v>50428.030000000006</v>
      </c>
      <c r="O382" s="136"/>
      <c r="P382" s="136"/>
    </row>
    <row r="383" spans="1:16" s="148" customFormat="1" x14ac:dyDescent="0.2">
      <c r="A383" s="145" t="s">
        <v>695</v>
      </c>
      <c r="B383" s="145"/>
      <c r="C383" s="145" t="s">
        <v>34</v>
      </c>
      <c r="D383" s="145">
        <v>3</v>
      </c>
      <c r="E383" s="146"/>
      <c r="F383" s="146"/>
      <c r="G383" s="146"/>
      <c r="H383" s="146"/>
      <c r="I383" s="146"/>
      <c r="J383" s="147"/>
      <c r="K383" s="146"/>
      <c r="L383" s="146"/>
      <c r="M383" s="146"/>
      <c r="N383" s="146"/>
      <c r="O383" s="146"/>
      <c r="P383" s="146"/>
    </row>
    <row r="384" spans="1:16" s="148" customFormat="1" x14ac:dyDescent="0.2">
      <c r="A384" s="145" t="s">
        <v>695</v>
      </c>
      <c r="B384" s="145"/>
      <c r="C384" s="145" t="s">
        <v>34</v>
      </c>
      <c r="D384" s="145">
        <v>3</v>
      </c>
      <c r="E384" s="146"/>
      <c r="F384" s="146"/>
      <c r="G384" s="146"/>
      <c r="H384" s="146"/>
      <c r="I384" s="146"/>
      <c r="J384" s="147"/>
      <c r="K384" s="146"/>
      <c r="L384" s="146"/>
      <c r="M384" s="146"/>
      <c r="N384" s="146"/>
      <c r="O384" s="146"/>
      <c r="P384" s="146"/>
    </row>
    <row r="385" spans="1:16" x14ac:dyDescent="0.2">
      <c r="A385" s="134"/>
      <c r="B385" s="134"/>
      <c r="C385" s="134"/>
      <c r="D385" s="134"/>
      <c r="E385" s="136"/>
      <c r="F385" s="136"/>
      <c r="G385" s="136"/>
      <c r="H385" s="136"/>
      <c r="I385" s="136"/>
      <c r="J385" s="143"/>
      <c r="K385" s="136"/>
      <c r="L385" s="136"/>
      <c r="M385" s="136"/>
      <c r="N385" s="136"/>
      <c r="O385" s="136"/>
      <c r="P385" s="136"/>
    </row>
    <row r="386" spans="1:16" x14ac:dyDescent="0.2">
      <c r="A386" s="133" t="s">
        <v>703</v>
      </c>
      <c r="B386" s="134"/>
      <c r="C386" s="134"/>
      <c r="D386" s="134"/>
      <c r="E386" s="136"/>
      <c r="F386" s="136"/>
      <c r="G386" s="136"/>
      <c r="H386" s="136"/>
      <c r="I386" s="136"/>
      <c r="J386" s="143"/>
      <c r="K386" s="136"/>
      <c r="L386" s="136"/>
      <c r="M386" s="136"/>
      <c r="N386" s="136"/>
      <c r="O386" s="136"/>
      <c r="P386" s="136"/>
    </row>
    <row r="387" spans="1:16" x14ac:dyDescent="0.2">
      <c r="A387" s="134"/>
      <c r="B387" s="134"/>
      <c r="C387" s="134"/>
      <c r="D387" s="134"/>
      <c r="E387" s="136"/>
      <c r="F387" s="136"/>
      <c r="G387" s="136"/>
      <c r="H387" s="136"/>
      <c r="I387" s="136"/>
      <c r="J387" s="143"/>
      <c r="K387" s="136"/>
      <c r="L387" s="136"/>
      <c r="M387" s="136"/>
      <c r="N387" s="136"/>
      <c r="O387" s="136"/>
      <c r="P387" s="136"/>
    </row>
    <row r="388" spans="1:16" x14ac:dyDescent="0.2">
      <c r="A388" s="134" t="s">
        <v>686</v>
      </c>
      <c r="B388" s="134"/>
      <c r="C388" s="134" t="s">
        <v>71</v>
      </c>
      <c r="D388" s="134">
        <v>2</v>
      </c>
      <c r="E388" s="136">
        <f t="shared" ref="E388" si="336">SUM(F388:P388)</f>
        <v>1011804.6731000001</v>
      </c>
      <c r="F388" s="136">
        <f>47129*(B$5+1)*12</f>
        <v>605136.3600000001</v>
      </c>
      <c r="G388" s="136">
        <f>F388*0.22</f>
        <v>133129.99920000002</v>
      </c>
      <c r="H388" s="136">
        <f t="shared" ref="H388:H390" si="337">3871*(B$6+1)*12</f>
        <v>49703.64</v>
      </c>
      <c r="I388" s="136">
        <f t="shared" ref="I388:I403" si="338">700*12</f>
        <v>8400</v>
      </c>
      <c r="J388" s="143">
        <v>1926</v>
      </c>
      <c r="K388" s="136">
        <f t="shared" ref="K388" si="339">12900*12</f>
        <v>154800</v>
      </c>
      <c r="L388" s="136">
        <v>93</v>
      </c>
      <c r="M388" s="136">
        <f>(N388+I388+K388+F388)*0.01</f>
        <v>8187.6439000000018</v>
      </c>
      <c r="N388" s="136">
        <f t="shared" ref="N388" si="340">F388/12</f>
        <v>50428.030000000006</v>
      </c>
      <c r="O388" s="136"/>
      <c r="P388" s="136"/>
    </row>
    <row r="389" spans="1:16" s="148" customFormat="1" x14ac:dyDescent="0.2">
      <c r="A389" s="145" t="s">
        <v>704</v>
      </c>
      <c r="B389" s="145"/>
      <c r="C389" s="145" t="s">
        <v>34</v>
      </c>
      <c r="D389" s="145">
        <v>5</v>
      </c>
      <c r="E389" s="146"/>
      <c r="F389" s="146"/>
      <c r="G389" s="146"/>
      <c r="H389" s="146"/>
      <c r="I389" s="146"/>
      <c r="J389" s="147"/>
      <c r="K389" s="146"/>
      <c r="L389" s="146"/>
      <c r="M389" s="146"/>
      <c r="N389" s="146"/>
      <c r="O389" s="146"/>
      <c r="P389" s="146"/>
    </row>
    <row r="390" spans="1:16" x14ac:dyDescent="0.2">
      <c r="A390" s="134" t="s">
        <v>466</v>
      </c>
      <c r="B390" s="134"/>
      <c r="C390" s="134" t="s">
        <v>467</v>
      </c>
      <c r="D390" s="134">
        <v>8</v>
      </c>
      <c r="E390" s="136">
        <f t="shared" ref="E390" si="341">SUM(F390:P390)</f>
        <v>424598.51050000009</v>
      </c>
      <c r="F390" s="136">
        <f>21595*(B$5+1)*12</f>
        <v>277279.80000000005</v>
      </c>
      <c r="G390" s="136">
        <f>F390*0.22</f>
        <v>61001.556000000011</v>
      </c>
      <c r="H390" s="136">
        <f t="shared" si="337"/>
        <v>49703.64</v>
      </c>
      <c r="I390" s="136">
        <f t="shared" si="338"/>
        <v>8400</v>
      </c>
      <c r="J390" s="143">
        <v>1926</v>
      </c>
      <c r="K390" s="136"/>
      <c r="L390" s="136">
        <v>93</v>
      </c>
      <c r="M390" s="136">
        <f>(N390+I390+K390+F390)*0.01</f>
        <v>3087.8645000000006</v>
      </c>
      <c r="N390" s="136">
        <f>F390/12</f>
        <v>23106.650000000005</v>
      </c>
      <c r="O390" s="136"/>
      <c r="P390" s="136"/>
    </row>
    <row r="391" spans="1:16" x14ac:dyDescent="0.2">
      <c r="A391" s="134"/>
      <c r="B391" s="134"/>
      <c r="C391" s="134"/>
      <c r="D391" s="134"/>
      <c r="E391" s="136"/>
      <c r="F391" s="136"/>
      <c r="G391" s="136"/>
      <c r="H391" s="136"/>
      <c r="I391" s="136"/>
      <c r="J391" s="143"/>
      <c r="K391" s="136"/>
      <c r="L391" s="136"/>
      <c r="M391" s="136"/>
      <c r="N391" s="136"/>
      <c r="O391" s="136"/>
      <c r="P391" s="136"/>
    </row>
    <row r="392" spans="1:16" x14ac:dyDescent="0.2">
      <c r="A392" s="133" t="s">
        <v>570</v>
      </c>
      <c r="B392" s="134"/>
      <c r="C392" s="134"/>
      <c r="D392" s="134"/>
      <c r="E392" s="136"/>
      <c r="F392" s="136"/>
      <c r="G392" s="136"/>
      <c r="H392" s="136"/>
      <c r="I392" s="136"/>
      <c r="J392" s="143"/>
      <c r="K392" s="136"/>
      <c r="L392" s="136"/>
      <c r="M392" s="136"/>
      <c r="N392" s="136"/>
      <c r="O392" s="136"/>
      <c r="P392" s="136"/>
    </row>
    <row r="393" spans="1:16" x14ac:dyDescent="0.2">
      <c r="A393" s="134"/>
      <c r="B393" s="134"/>
      <c r="C393" s="134"/>
      <c r="D393" s="134"/>
      <c r="E393" s="136"/>
      <c r="F393" s="136"/>
      <c r="G393" s="136"/>
      <c r="H393" s="136"/>
      <c r="I393" s="136"/>
      <c r="J393" s="143"/>
      <c r="K393" s="136"/>
      <c r="L393" s="136"/>
      <c r="M393" s="136"/>
      <c r="N393" s="136"/>
      <c r="O393" s="136"/>
      <c r="P393" s="136"/>
    </row>
    <row r="394" spans="1:16" s="148" customFormat="1" x14ac:dyDescent="0.2">
      <c r="A394" s="145" t="s">
        <v>678</v>
      </c>
      <c r="B394" s="145"/>
      <c r="C394" s="145" t="s">
        <v>34</v>
      </c>
      <c r="D394" s="145">
        <v>2</v>
      </c>
      <c r="E394" s="146"/>
      <c r="F394" s="146"/>
      <c r="G394" s="146"/>
      <c r="H394" s="146"/>
      <c r="I394" s="146"/>
      <c r="J394" s="147"/>
      <c r="K394" s="146"/>
      <c r="L394" s="146"/>
      <c r="M394" s="146"/>
      <c r="N394" s="146"/>
      <c r="O394" s="146"/>
      <c r="P394" s="146"/>
    </row>
    <row r="395" spans="1:16" x14ac:dyDescent="0.2">
      <c r="A395" s="134" t="s">
        <v>394</v>
      </c>
      <c r="B395" s="134"/>
      <c r="C395" s="134" t="s">
        <v>396</v>
      </c>
      <c r="D395" s="134">
        <v>5</v>
      </c>
      <c r="E395" s="136">
        <f t="shared" ref="E395" si="342">SUM(F395:P395)</f>
        <v>718949.3861</v>
      </c>
      <c r="F395" s="136">
        <f>31799*(B$5+1)*12</f>
        <v>408299.16000000003</v>
      </c>
      <c r="G395" s="136">
        <f t="shared" ref="G395:G400" si="343">F395*0.22</f>
        <v>89825.815200000012</v>
      </c>
      <c r="H395" s="136">
        <f t="shared" ref="H395" si="344">3871*(B$6+1)*12</f>
        <v>49703.64</v>
      </c>
      <c r="I395" s="136">
        <f t="shared" si="338"/>
        <v>8400</v>
      </c>
      <c r="J395" s="143">
        <v>1926</v>
      </c>
      <c r="K395" s="136">
        <f>10080*12</f>
        <v>120960</v>
      </c>
      <c r="L395" s="136">
        <v>93</v>
      </c>
      <c r="M395" s="136">
        <f t="shared" ref="M395" si="345">(N395+I395+K395+F395)*0.01</f>
        <v>5716.8409000000011</v>
      </c>
      <c r="N395" s="136">
        <f>F395/12</f>
        <v>34024.93</v>
      </c>
      <c r="O395" s="136"/>
      <c r="P395" s="136"/>
    </row>
    <row r="396" spans="1:16" x14ac:dyDescent="0.2">
      <c r="A396" s="134" t="s">
        <v>498</v>
      </c>
      <c r="B396" s="134"/>
      <c r="C396" s="134" t="s">
        <v>499</v>
      </c>
      <c r="D396" s="134"/>
      <c r="E396" s="136">
        <f t="shared" ref="E396" si="346">SUM(F396:P396)</f>
        <v>126538.20000000001</v>
      </c>
      <c r="F396" s="136">
        <f>9855*(B$5+1)*12</f>
        <v>126538.20000000001</v>
      </c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</row>
    <row r="397" spans="1:16" x14ac:dyDescent="0.2">
      <c r="A397" s="134"/>
      <c r="B397" s="134"/>
      <c r="C397" s="134"/>
      <c r="D397" s="134"/>
      <c r="E397" s="136"/>
      <c r="F397" s="136"/>
      <c r="G397" s="136"/>
      <c r="H397" s="136"/>
      <c r="I397" s="136"/>
      <c r="J397" s="143"/>
      <c r="K397" s="136"/>
      <c r="L397" s="136"/>
      <c r="M397" s="136"/>
      <c r="N397" s="136"/>
      <c r="O397" s="136"/>
      <c r="P397" s="136"/>
    </row>
    <row r="398" spans="1:16" x14ac:dyDescent="0.2">
      <c r="A398" s="133" t="s">
        <v>569</v>
      </c>
      <c r="B398" s="134"/>
      <c r="C398" s="134"/>
      <c r="D398" s="134"/>
      <c r="E398" s="136"/>
      <c r="F398" s="136"/>
      <c r="G398" s="136"/>
      <c r="H398" s="136"/>
      <c r="I398" s="136"/>
      <c r="J398" s="143"/>
      <c r="K398" s="136"/>
      <c r="L398" s="136"/>
      <c r="M398" s="136"/>
      <c r="N398" s="136"/>
      <c r="O398" s="136"/>
      <c r="P398" s="136"/>
    </row>
    <row r="399" spans="1:16" x14ac:dyDescent="0.2">
      <c r="A399" s="134"/>
      <c r="B399" s="134"/>
      <c r="C399" s="134"/>
      <c r="D399" s="134"/>
      <c r="E399" s="136"/>
      <c r="F399" s="136"/>
      <c r="G399" s="136"/>
      <c r="H399" s="136"/>
      <c r="I399" s="136"/>
      <c r="J399" s="143"/>
      <c r="K399" s="136"/>
      <c r="L399" s="136"/>
      <c r="M399" s="136"/>
      <c r="N399" s="136"/>
      <c r="O399" s="136"/>
      <c r="P399" s="136"/>
    </row>
    <row r="400" spans="1:16" x14ac:dyDescent="0.2">
      <c r="A400" s="134" t="s">
        <v>687</v>
      </c>
      <c r="B400" s="134"/>
      <c r="C400" s="134" t="s">
        <v>361</v>
      </c>
      <c r="D400" s="134">
        <v>2</v>
      </c>
      <c r="E400" s="136">
        <f t="shared" ref="E400:E413" si="347">SUM(F400:P400)</f>
        <v>1011804.6731000001</v>
      </c>
      <c r="F400" s="136">
        <f>47129*(B$5+1)*12</f>
        <v>605136.3600000001</v>
      </c>
      <c r="G400" s="136">
        <f t="shared" si="343"/>
        <v>133129.99920000002</v>
      </c>
      <c r="H400" s="136">
        <f t="shared" ref="H400:H403" si="348">3871*(B$6+1)*12</f>
        <v>49703.64</v>
      </c>
      <c r="I400" s="136">
        <f t="shared" si="338"/>
        <v>8400</v>
      </c>
      <c r="J400" s="143">
        <v>1926</v>
      </c>
      <c r="K400" s="136">
        <f t="shared" ref="K400" si="349">12900*12</f>
        <v>154800</v>
      </c>
      <c r="L400" s="136">
        <v>93</v>
      </c>
      <c r="M400" s="136">
        <f>(N400+I400+K400+F400)*0.01</f>
        <v>8187.6439000000018</v>
      </c>
      <c r="N400" s="136">
        <f t="shared" ref="N400" si="350">F400/12</f>
        <v>50428.030000000006</v>
      </c>
      <c r="O400" s="136"/>
      <c r="P400" s="136"/>
    </row>
    <row r="401" spans="1:16" x14ac:dyDescent="0.2">
      <c r="A401" s="134" t="s">
        <v>693</v>
      </c>
      <c r="B401" s="134"/>
      <c r="C401" s="134" t="s">
        <v>455</v>
      </c>
      <c r="D401" s="134">
        <v>3</v>
      </c>
      <c r="E401" s="136">
        <f t="shared" ref="E401" si="351">SUM(F401:P401)</f>
        <v>912075.38430000003</v>
      </c>
      <c r="F401" s="136">
        <f>41937*(B$5+1)*12</f>
        <v>538471.08000000007</v>
      </c>
      <c r="G401" s="136">
        <f>F401*0.22</f>
        <v>118463.63760000002</v>
      </c>
      <c r="H401" s="136">
        <f t="shared" si="348"/>
        <v>49703.64</v>
      </c>
      <c r="I401" s="136">
        <f t="shared" si="338"/>
        <v>8400</v>
      </c>
      <c r="J401" s="143">
        <v>1926</v>
      </c>
      <c r="K401" s="136">
        <f t="shared" ref="K401" si="352">11900*12</f>
        <v>142800</v>
      </c>
      <c r="L401" s="136">
        <v>93</v>
      </c>
      <c r="M401" s="136">
        <f t="shared" ref="M401" si="353">(N401+I401+K401+F401)*0.01</f>
        <v>7345.4367000000002</v>
      </c>
      <c r="N401" s="136">
        <f>F401/12</f>
        <v>44872.590000000004</v>
      </c>
      <c r="O401" s="136"/>
      <c r="P401" s="136"/>
    </row>
    <row r="402" spans="1:16" x14ac:dyDescent="0.2">
      <c r="A402" s="134" t="s">
        <v>702</v>
      </c>
      <c r="B402" s="134"/>
      <c r="C402" s="134" t="s">
        <v>456</v>
      </c>
      <c r="D402" s="134">
        <v>5</v>
      </c>
      <c r="E402" s="136">
        <f t="shared" ref="E402" si="354">SUM(F402:P402)</f>
        <v>917227.49840000016</v>
      </c>
      <c r="F402" s="136">
        <f>43858*(B$5+1)*12</f>
        <v>563136.72000000009</v>
      </c>
      <c r="G402" s="136">
        <f t="shared" ref="G402" si="355">F402*0.22</f>
        <v>123890.07840000001</v>
      </c>
      <c r="H402" s="136">
        <f t="shared" si="348"/>
        <v>49703.64</v>
      </c>
      <c r="I402" s="136">
        <f t="shared" si="338"/>
        <v>8400</v>
      </c>
      <c r="J402" s="143">
        <v>1926</v>
      </c>
      <c r="K402" s="136">
        <f t="shared" ref="K402" si="356">10080*12</f>
        <v>120960</v>
      </c>
      <c r="L402" s="136">
        <v>93</v>
      </c>
      <c r="M402" s="136">
        <v>2190</v>
      </c>
      <c r="N402" s="136">
        <f t="shared" ref="N402" si="357">F402/12</f>
        <v>46928.060000000005</v>
      </c>
      <c r="O402" s="136"/>
      <c r="P402" s="136"/>
    </row>
    <row r="403" spans="1:16" x14ac:dyDescent="0.2">
      <c r="A403" s="134" t="s">
        <v>698</v>
      </c>
      <c r="B403" s="134"/>
      <c r="C403" s="134" t="s">
        <v>335</v>
      </c>
      <c r="D403" s="134">
        <v>6</v>
      </c>
      <c r="E403" s="136">
        <f t="shared" si="347"/>
        <v>668108.32539999997</v>
      </c>
      <c r="F403" s="136">
        <f>28786*(B$5+1)*12</f>
        <v>369612.24</v>
      </c>
      <c r="G403" s="136">
        <f>F403*0.22</f>
        <v>81314.692800000004</v>
      </c>
      <c r="H403" s="136">
        <f t="shared" si="348"/>
        <v>49703.64</v>
      </c>
      <c r="I403" s="136">
        <f t="shared" si="338"/>
        <v>8400</v>
      </c>
      <c r="J403" s="143">
        <v>1926</v>
      </c>
      <c r="K403" s="136">
        <f>10080*12</f>
        <v>120960</v>
      </c>
      <c r="L403" s="136">
        <v>93</v>
      </c>
      <c r="M403" s="136">
        <f>(N403+I403+K403+F403)*0.01</f>
        <v>5297.7326000000003</v>
      </c>
      <c r="N403" s="136">
        <f>F403/12</f>
        <v>30801.02</v>
      </c>
      <c r="O403" s="136"/>
      <c r="P403" s="136"/>
    </row>
    <row r="404" spans="1:16" x14ac:dyDescent="0.2">
      <c r="A404" s="134"/>
      <c r="B404" s="134"/>
      <c r="C404" s="134"/>
      <c r="D404" s="134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</row>
    <row r="405" spans="1:16" x14ac:dyDescent="0.2">
      <c r="A405" s="133" t="s">
        <v>705</v>
      </c>
      <c r="B405" s="134"/>
      <c r="C405" s="134"/>
      <c r="D405" s="134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</row>
    <row r="406" spans="1:16" x14ac:dyDescent="0.2">
      <c r="A406" s="134"/>
      <c r="B406" s="134"/>
      <c r="C406" s="134"/>
      <c r="D406" s="134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</row>
    <row r="407" spans="1:16" x14ac:dyDescent="0.2">
      <c r="A407" s="174" t="s">
        <v>690</v>
      </c>
      <c r="B407" s="174"/>
      <c r="C407" s="174" t="s">
        <v>290</v>
      </c>
      <c r="D407" s="174">
        <v>2</v>
      </c>
      <c r="E407" s="136">
        <f t="shared" ref="E407:E408" si="358">SUM(F407:P407)</f>
        <v>1011804.6731000001</v>
      </c>
      <c r="F407" s="136">
        <f>47129*(B$5+1)*12</f>
        <v>605136.3600000001</v>
      </c>
      <c r="G407" s="175">
        <f t="shared" ref="G407" si="359">F407*0.22</f>
        <v>133129.99920000002</v>
      </c>
      <c r="H407" s="136">
        <f t="shared" ref="H407:H409" si="360">3871*(B$6+1)*12</f>
        <v>49703.64</v>
      </c>
      <c r="I407" s="136">
        <f t="shared" ref="I407:I409" si="361">700*12</f>
        <v>8400</v>
      </c>
      <c r="J407" s="143">
        <v>1926</v>
      </c>
      <c r="K407" s="136">
        <f t="shared" ref="K407" si="362">12900*12</f>
        <v>154800</v>
      </c>
      <c r="L407" s="136">
        <v>93</v>
      </c>
      <c r="M407" s="136">
        <f t="shared" ref="M407:M408" si="363">(N407+I407+K407+F407)*0.01</f>
        <v>8187.6439000000018</v>
      </c>
      <c r="N407" s="175">
        <f t="shared" ref="N407" si="364">F407/12</f>
        <v>50428.030000000006</v>
      </c>
      <c r="O407" s="175"/>
      <c r="P407" s="175"/>
    </row>
    <row r="408" spans="1:16" x14ac:dyDescent="0.2">
      <c r="A408" s="174" t="s">
        <v>694</v>
      </c>
      <c r="B408" s="174"/>
      <c r="C408" s="174" t="s">
        <v>73</v>
      </c>
      <c r="D408" s="174">
        <v>3</v>
      </c>
      <c r="E408" s="136">
        <f t="shared" si="358"/>
        <v>912075.38430000003</v>
      </c>
      <c r="F408" s="136">
        <f>41937*(B$5+1)*12</f>
        <v>538471.08000000007</v>
      </c>
      <c r="G408" s="136">
        <f>F408*0.22</f>
        <v>118463.63760000002</v>
      </c>
      <c r="H408" s="136">
        <f t="shared" si="360"/>
        <v>49703.64</v>
      </c>
      <c r="I408" s="136">
        <f t="shared" si="361"/>
        <v>8400</v>
      </c>
      <c r="J408" s="143">
        <v>1926</v>
      </c>
      <c r="K408" s="136">
        <f>11900*12</f>
        <v>142800</v>
      </c>
      <c r="L408" s="136">
        <v>93</v>
      </c>
      <c r="M408" s="136">
        <f t="shared" si="363"/>
        <v>7345.4367000000002</v>
      </c>
      <c r="N408" s="136">
        <f>F408/12</f>
        <v>44872.590000000004</v>
      </c>
      <c r="O408" s="136"/>
      <c r="P408" s="175"/>
    </row>
    <row r="409" spans="1:16" x14ac:dyDescent="0.2">
      <c r="A409" s="134" t="s">
        <v>706</v>
      </c>
      <c r="B409" s="174"/>
      <c r="C409" s="174" t="s">
        <v>477</v>
      </c>
      <c r="D409" s="134">
        <v>8</v>
      </c>
      <c r="E409" s="136">
        <f t="shared" ref="E409" si="365">SUM(F409:P409)</f>
        <v>424598.51050000009</v>
      </c>
      <c r="F409" s="136">
        <f>21595*(B$5+1)*12</f>
        <v>277279.80000000005</v>
      </c>
      <c r="G409" s="136">
        <f>F409*0.22</f>
        <v>61001.556000000011</v>
      </c>
      <c r="H409" s="136">
        <f t="shared" si="360"/>
        <v>49703.64</v>
      </c>
      <c r="I409" s="136">
        <f t="shared" si="361"/>
        <v>8400</v>
      </c>
      <c r="J409" s="143">
        <v>1926</v>
      </c>
      <c r="K409" s="136"/>
      <c r="L409" s="136">
        <v>93</v>
      </c>
      <c r="M409" s="136">
        <f>(N409+I409+K409+F409)*0.01</f>
        <v>3087.8645000000006</v>
      </c>
      <c r="N409" s="136">
        <f>F409/12</f>
        <v>23106.650000000005</v>
      </c>
      <c r="O409" s="136"/>
      <c r="P409" s="175"/>
    </row>
    <row r="410" spans="1:16" x14ac:dyDescent="0.2">
      <c r="A410" s="134" t="s">
        <v>476</v>
      </c>
      <c r="B410" s="134"/>
      <c r="C410" s="134" t="s">
        <v>497</v>
      </c>
      <c r="D410" s="134"/>
      <c r="E410" s="136">
        <f t="shared" ref="E410:E411" si="366">SUM(F410:P410)</f>
        <v>118256.40000000001</v>
      </c>
      <c r="F410" s="136">
        <f>9210*(B$5+1)*12</f>
        <v>118256.40000000001</v>
      </c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</row>
    <row r="411" spans="1:16" x14ac:dyDescent="0.2">
      <c r="A411" s="134" t="s">
        <v>476</v>
      </c>
      <c r="B411" s="134"/>
      <c r="C411" s="134" t="s">
        <v>34</v>
      </c>
      <c r="D411" s="134"/>
      <c r="E411" s="136">
        <f t="shared" si="366"/>
        <v>118256.40000000001</v>
      </c>
      <c r="F411" s="136">
        <f>9210*(B$5+1)*12</f>
        <v>118256.40000000001</v>
      </c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</row>
    <row r="412" spans="1:16" x14ac:dyDescent="0.2">
      <c r="A412" s="134" t="s">
        <v>157</v>
      </c>
      <c r="B412" s="145"/>
      <c r="C412" s="145"/>
      <c r="D412" s="145"/>
      <c r="E412" s="136">
        <f t="shared" si="347"/>
        <v>350000</v>
      </c>
      <c r="F412" s="146"/>
      <c r="G412" s="146"/>
      <c r="H412" s="146"/>
      <c r="I412" s="146"/>
      <c r="J412" s="146"/>
      <c r="K412" s="146"/>
      <c r="L412" s="146"/>
      <c r="M412" s="146"/>
      <c r="N412" s="146"/>
      <c r="O412" s="146">
        <v>350000</v>
      </c>
      <c r="P412" s="146"/>
    </row>
    <row r="413" spans="1:16" x14ac:dyDescent="0.2">
      <c r="A413" s="174" t="s">
        <v>164</v>
      </c>
      <c r="B413" s="174"/>
      <c r="C413" s="174"/>
      <c r="D413" s="174"/>
      <c r="E413" s="136">
        <f t="shared" si="347"/>
        <v>55876</v>
      </c>
      <c r="F413" s="136"/>
      <c r="G413" s="175"/>
      <c r="H413" s="136"/>
      <c r="I413" s="175"/>
      <c r="J413" s="175"/>
      <c r="K413" s="175"/>
      <c r="L413" s="175"/>
      <c r="M413" s="175"/>
      <c r="N413" s="175"/>
      <c r="O413" s="175"/>
      <c r="P413" s="175">
        <v>55876</v>
      </c>
    </row>
    <row r="414" spans="1:16" x14ac:dyDescent="0.2">
      <c r="A414" s="145"/>
      <c r="B414" s="145"/>
      <c r="C414" s="145"/>
      <c r="D414" s="145"/>
      <c r="E414" s="146"/>
      <c r="F414" s="146"/>
      <c r="G414" s="146"/>
      <c r="H414" s="146"/>
      <c r="I414" s="146"/>
      <c r="J414" s="147"/>
      <c r="K414" s="146"/>
      <c r="L414" s="146"/>
      <c r="M414" s="146"/>
      <c r="N414" s="146"/>
      <c r="O414" s="146"/>
      <c r="P414" s="146"/>
    </row>
    <row r="415" spans="1:16" x14ac:dyDescent="0.2">
      <c r="A415" s="174" t="s">
        <v>329</v>
      </c>
      <c r="B415" s="174"/>
      <c r="C415" s="174"/>
      <c r="D415" s="174"/>
      <c r="E415" s="175">
        <f>SUM(F415:N415)</f>
        <v>0</v>
      </c>
      <c r="F415" s="175"/>
      <c r="G415" s="175"/>
      <c r="H415" s="175"/>
      <c r="I415" s="175"/>
      <c r="J415" s="176"/>
      <c r="K415" s="175"/>
      <c r="L415" s="175"/>
      <c r="M415" s="175"/>
      <c r="N415" s="175"/>
      <c r="O415" s="175"/>
      <c r="P415" s="175"/>
    </row>
    <row r="416" spans="1:16" ht="12" thickBot="1" x14ac:dyDescent="0.25">
      <c r="A416" s="134"/>
      <c r="B416" s="134"/>
      <c r="C416" s="134"/>
      <c r="D416" s="134"/>
      <c r="E416" s="149">
        <f t="shared" ref="E416:P416" si="367">SUM(E364:E415)</f>
        <v>17013191.985700004</v>
      </c>
      <c r="F416" s="149">
        <f t="shared" si="367"/>
        <v>10154385.600000001</v>
      </c>
      <c r="G416" s="149">
        <f t="shared" si="367"/>
        <v>2005048.6134000004</v>
      </c>
      <c r="H416" s="149">
        <f t="shared" si="367"/>
        <v>994072.80000000016</v>
      </c>
      <c r="I416" s="149">
        <f t="shared" si="367"/>
        <v>159600</v>
      </c>
      <c r="J416" s="149">
        <f t="shared" si="367"/>
        <v>38520</v>
      </c>
      <c r="K416" s="149">
        <f t="shared" si="367"/>
        <v>2270400</v>
      </c>
      <c r="L416" s="149">
        <f t="shared" si="367"/>
        <v>1860</v>
      </c>
      <c r="M416" s="149">
        <f t="shared" si="367"/>
        <v>106651.96910000002</v>
      </c>
      <c r="N416" s="149">
        <f t="shared" si="367"/>
        <v>876777.00320000027</v>
      </c>
      <c r="O416" s="149">
        <f t="shared" si="367"/>
        <v>350000</v>
      </c>
      <c r="P416" s="149">
        <f t="shared" si="367"/>
        <v>55876</v>
      </c>
    </row>
    <row r="417" spans="1:16" ht="12" thickTop="1" x14ac:dyDescent="0.2">
      <c r="A417" s="134"/>
      <c r="B417" s="134"/>
      <c r="C417" s="134" t="s">
        <v>199</v>
      </c>
      <c r="D417" s="134">
        <f>COUNT(D364:D416)</f>
        <v>26</v>
      </c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</row>
    <row r="418" spans="1:16" x14ac:dyDescent="0.2">
      <c r="A418" s="134"/>
      <c r="B418" s="134"/>
      <c r="C418" s="134"/>
      <c r="D418" s="134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</row>
    <row r="419" spans="1:16" x14ac:dyDescent="0.2">
      <c r="A419" s="134"/>
      <c r="B419" s="134"/>
      <c r="C419" s="134"/>
      <c r="D419" s="134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</row>
    <row r="420" spans="1:16" x14ac:dyDescent="0.2">
      <c r="A420" s="135" t="s">
        <v>328</v>
      </c>
      <c r="B420" s="134"/>
      <c r="C420" s="134"/>
      <c r="D420" s="134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</row>
    <row r="421" spans="1:16" x14ac:dyDescent="0.2">
      <c r="A421" s="134"/>
      <c r="B421" s="134"/>
      <c r="C421" s="134" t="s">
        <v>176</v>
      </c>
      <c r="D421" s="141" t="s">
        <v>177</v>
      </c>
      <c r="E421" s="141" t="s">
        <v>178</v>
      </c>
      <c r="F421" s="141" t="s">
        <v>179</v>
      </c>
      <c r="G421" s="141" t="s">
        <v>180</v>
      </c>
      <c r="H421" s="141" t="s">
        <v>181</v>
      </c>
      <c r="I421" s="141" t="s">
        <v>182</v>
      </c>
      <c r="J421" s="141" t="s">
        <v>183</v>
      </c>
      <c r="K421" s="141" t="s">
        <v>184</v>
      </c>
      <c r="L421" s="141" t="s">
        <v>185</v>
      </c>
      <c r="M421" s="141" t="s">
        <v>186</v>
      </c>
      <c r="N421" s="141" t="s">
        <v>187</v>
      </c>
      <c r="O421" s="141" t="s">
        <v>372</v>
      </c>
      <c r="P421" s="136" t="s">
        <v>164</v>
      </c>
    </row>
    <row r="422" spans="1:16" x14ac:dyDescent="0.2">
      <c r="A422" s="134"/>
      <c r="B422" s="134"/>
      <c r="C422" s="134"/>
      <c r="D422" s="141" t="s">
        <v>188</v>
      </c>
      <c r="E422" s="141" t="s">
        <v>189</v>
      </c>
      <c r="F422" s="141"/>
      <c r="G422" s="141" t="s">
        <v>190</v>
      </c>
      <c r="H422" s="141" t="s">
        <v>190</v>
      </c>
      <c r="I422" s="141" t="s">
        <v>191</v>
      </c>
      <c r="J422" s="141"/>
      <c r="K422" s="141" t="s">
        <v>192</v>
      </c>
      <c r="L422" s="141" t="s">
        <v>193</v>
      </c>
      <c r="M422" s="141" t="s">
        <v>194</v>
      </c>
      <c r="N422" s="141" t="s">
        <v>195</v>
      </c>
      <c r="O422" s="141" t="s">
        <v>192</v>
      </c>
      <c r="P422" s="136"/>
    </row>
    <row r="423" spans="1:16" x14ac:dyDescent="0.2">
      <c r="A423" s="153" t="s">
        <v>768</v>
      </c>
      <c r="B423" s="134"/>
      <c r="C423" s="134" t="s">
        <v>401</v>
      </c>
      <c r="D423" s="134">
        <v>0</v>
      </c>
      <c r="E423" s="136">
        <f t="shared" ref="E423:E425" si="368">SUM(F423:P423)</f>
        <v>1255612.8648000001</v>
      </c>
      <c r="F423" s="136">
        <f>54373*(B$5+1)*12</f>
        <v>698149.32000000007</v>
      </c>
      <c r="G423" s="136">
        <v>0</v>
      </c>
      <c r="H423" s="136">
        <f t="shared" ref="H423:H432" si="369">3871*(B$6+1)*12</f>
        <v>49703.64</v>
      </c>
      <c r="I423" s="136">
        <f>6500*12</f>
        <v>78000</v>
      </c>
      <c r="J423" s="143">
        <v>1926</v>
      </c>
      <c r="K423" s="136">
        <f>27500*12</f>
        <v>330000</v>
      </c>
      <c r="L423" s="136">
        <v>93</v>
      </c>
      <c r="M423" s="136">
        <v>0</v>
      </c>
      <c r="N423" s="136">
        <f>F423*0.14</f>
        <v>97740.904800000018</v>
      </c>
      <c r="O423" s="141"/>
      <c r="P423" s="136"/>
    </row>
    <row r="424" spans="1:16" x14ac:dyDescent="0.2">
      <c r="A424" s="134" t="s">
        <v>769</v>
      </c>
      <c r="B424" s="134"/>
      <c r="C424" s="134" t="s">
        <v>64</v>
      </c>
      <c r="D424" s="134">
        <v>2</v>
      </c>
      <c r="E424" s="136">
        <f t="shared" si="368"/>
        <v>1000726.9931000001</v>
      </c>
      <c r="F424" s="136">
        <f>47129*(B$5+1)*12</f>
        <v>605136.3600000001</v>
      </c>
      <c r="G424" s="136">
        <f>F424*0.22</f>
        <v>133129.99920000002</v>
      </c>
      <c r="H424" s="136">
        <f t="shared" si="369"/>
        <v>49703.64</v>
      </c>
      <c r="I424" s="136">
        <f t="shared" ref="I424:I432" si="370">686*12</f>
        <v>8232</v>
      </c>
      <c r="J424" s="143">
        <v>1926</v>
      </c>
      <c r="K424" s="136">
        <f>12000*12</f>
        <v>144000</v>
      </c>
      <c r="L424" s="136">
        <v>93</v>
      </c>
      <c r="M424" s="136">
        <f t="shared" ref="M424:M429" si="371">(N424+I424+K424+F424)*0.01</f>
        <v>8077.9639000000016</v>
      </c>
      <c r="N424" s="136">
        <f>F424/12</f>
        <v>50428.030000000006</v>
      </c>
      <c r="O424" s="136"/>
      <c r="P424" s="177"/>
    </row>
    <row r="425" spans="1:16" x14ac:dyDescent="0.2">
      <c r="A425" s="174" t="s">
        <v>770</v>
      </c>
      <c r="B425" s="174"/>
      <c r="C425" s="174" t="s">
        <v>457</v>
      </c>
      <c r="D425" s="174">
        <v>5</v>
      </c>
      <c r="E425" s="175">
        <f t="shared" si="368"/>
        <v>715254.54520000005</v>
      </c>
      <c r="F425" s="175">
        <f>31799*(B$5+1)*12</f>
        <v>408299.16000000003</v>
      </c>
      <c r="G425" s="175">
        <f t="shared" ref="G425:G429" si="372">F425*0.22</f>
        <v>89825.815200000012</v>
      </c>
      <c r="H425" s="136">
        <f t="shared" si="369"/>
        <v>49703.64</v>
      </c>
      <c r="I425" s="175">
        <f t="shared" si="370"/>
        <v>8232</v>
      </c>
      <c r="J425" s="143">
        <v>1926</v>
      </c>
      <c r="K425" s="175">
        <f t="shared" ref="K425" si="373">10080*12</f>
        <v>120960</v>
      </c>
      <c r="L425" s="136">
        <v>93</v>
      </c>
      <c r="M425" s="175">
        <v>2190</v>
      </c>
      <c r="N425" s="175">
        <f t="shared" ref="N425:N429" si="374">F425/12</f>
        <v>34024.93</v>
      </c>
      <c r="O425" s="175"/>
      <c r="P425" s="178"/>
    </row>
    <row r="426" spans="1:16" x14ac:dyDescent="0.2">
      <c r="A426" s="134" t="s">
        <v>771</v>
      </c>
      <c r="B426" s="134"/>
      <c r="C426" s="134" t="s">
        <v>42</v>
      </c>
      <c r="D426" s="134">
        <v>3</v>
      </c>
      <c r="E426" s="136">
        <f t="shared" ref="E426:E430" si="375">SUM(F426:P426)</f>
        <v>900997.7043000001</v>
      </c>
      <c r="F426" s="136">
        <f>41937*(B$5+1)*12</f>
        <v>538471.08000000007</v>
      </c>
      <c r="G426" s="136">
        <f t="shared" si="372"/>
        <v>118463.63760000002</v>
      </c>
      <c r="H426" s="136">
        <f t="shared" si="369"/>
        <v>49703.64</v>
      </c>
      <c r="I426" s="136">
        <f t="shared" si="370"/>
        <v>8232</v>
      </c>
      <c r="J426" s="143">
        <v>1926</v>
      </c>
      <c r="K426" s="136">
        <f>11000*12</f>
        <v>132000</v>
      </c>
      <c r="L426" s="136">
        <v>93</v>
      </c>
      <c r="M426" s="136">
        <f t="shared" si="371"/>
        <v>7235.7567000000008</v>
      </c>
      <c r="N426" s="136">
        <f t="shared" si="374"/>
        <v>44872.590000000004</v>
      </c>
      <c r="O426" s="136"/>
      <c r="P426" s="136"/>
    </row>
    <row r="427" spans="1:16" x14ac:dyDescent="0.2">
      <c r="A427" s="134" t="s">
        <v>771</v>
      </c>
      <c r="B427" s="134"/>
      <c r="C427" s="134" t="s">
        <v>298</v>
      </c>
      <c r="D427" s="167" t="s">
        <v>347</v>
      </c>
      <c r="E427" s="136">
        <f>SUM(F427:P427)</f>
        <v>900997.7043000001</v>
      </c>
      <c r="F427" s="136">
        <f>41937*(B$5+1)*12</f>
        <v>538471.08000000007</v>
      </c>
      <c r="G427" s="136">
        <f t="shared" ref="G427" si="376">F427*0.22</f>
        <v>118463.63760000002</v>
      </c>
      <c r="H427" s="136">
        <f t="shared" si="369"/>
        <v>49703.64</v>
      </c>
      <c r="I427" s="136">
        <f t="shared" si="370"/>
        <v>8232</v>
      </c>
      <c r="J427" s="143">
        <v>1926</v>
      </c>
      <c r="K427" s="136">
        <f>11000*12</f>
        <v>132000</v>
      </c>
      <c r="L427" s="136">
        <v>93</v>
      </c>
      <c r="M427" s="136">
        <f t="shared" ref="M427" si="377">(N427+I427+K427+F427)*0.01</f>
        <v>7235.7567000000008</v>
      </c>
      <c r="N427" s="136">
        <f t="shared" ref="N427" si="378">F427/12</f>
        <v>44872.590000000004</v>
      </c>
      <c r="O427" s="136"/>
      <c r="P427" s="136"/>
    </row>
    <row r="428" spans="1:16" x14ac:dyDescent="0.2">
      <c r="A428" s="134" t="s">
        <v>58</v>
      </c>
      <c r="B428" s="161"/>
      <c r="C428" s="134" t="s">
        <v>39</v>
      </c>
      <c r="D428" s="134">
        <v>8</v>
      </c>
      <c r="E428" s="136">
        <f t="shared" si="375"/>
        <v>530842.43050000002</v>
      </c>
      <c r="F428" s="136">
        <f>21595*(B$5+1)*12</f>
        <v>277279.80000000005</v>
      </c>
      <c r="G428" s="136">
        <f t="shared" si="372"/>
        <v>61001.556000000011</v>
      </c>
      <c r="H428" s="136">
        <f t="shared" si="369"/>
        <v>49703.64</v>
      </c>
      <c r="I428" s="136">
        <f t="shared" si="370"/>
        <v>8232</v>
      </c>
      <c r="J428" s="143">
        <v>1926</v>
      </c>
      <c r="K428" s="136">
        <f>8780*12</f>
        <v>105360</v>
      </c>
      <c r="L428" s="136">
        <v>93</v>
      </c>
      <c r="M428" s="136">
        <f t="shared" si="371"/>
        <v>4139.7845000000007</v>
      </c>
      <c r="N428" s="136">
        <f t="shared" si="374"/>
        <v>23106.650000000005</v>
      </c>
      <c r="O428" s="136"/>
      <c r="P428" s="177"/>
    </row>
    <row r="429" spans="1:16" x14ac:dyDescent="0.2">
      <c r="A429" s="134" t="s">
        <v>58</v>
      </c>
      <c r="B429" s="161"/>
      <c r="C429" s="134" t="s">
        <v>263</v>
      </c>
      <c r="D429" s="134">
        <v>8</v>
      </c>
      <c r="E429" s="136">
        <f t="shared" si="375"/>
        <v>530842.43050000002</v>
      </c>
      <c r="F429" s="136">
        <f>21595*(B$5+1)*12</f>
        <v>277279.80000000005</v>
      </c>
      <c r="G429" s="136">
        <f t="shared" si="372"/>
        <v>61001.556000000011</v>
      </c>
      <c r="H429" s="136">
        <f t="shared" si="369"/>
        <v>49703.64</v>
      </c>
      <c r="I429" s="136">
        <f t="shared" si="370"/>
        <v>8232</v>
      </c>
      <c r="J429" s="143">
        <v>1926</v>
      </c>
      <c r="K429" s="136">
        <f>8780*12</f>
        <v>105360</v>
      </c>
      <c r="L429" s="136">
        <v>93</v>
      </c>
      <c r="M429" s="136">
        <f t="shared" si="371"/>
        <v>4139.7845000000007</v>
      </c>
      <c r="N429" s="136">
        <f t="shared" si="374"/>
        <v>23106.650000000005</v>
      </c>
      <c r="O429" s="136"/>
      <c r="P429" s="177"/>
    </row>
    <row r="430" spans="1:16" x14ac:dyDescent="0.2">
      <c r="A430" s="134" t="s">
        <v>58</v>
      </c>
      <c r="B430" s="134"/>
      <c r="C430" s="134" t="s">
        <v>59</v>
      </c>
      <c r="D430" s="134">
        <v>9</v>
      </c>
      <c r="E430" s="136">
        <f t="shared" si="375"/>
        <v>381889.72860000003</v>
      </c>
      <c r="F430" s="136">
        <f>19074*(B$5+1)*12</f>
        <v>244910.16</v>
      </c>
      <c r="G430" s="136">
        <f>F430*0.22</f>
        <v>53880.235200000003</v>
      </c>
      <c r="H430" s="136">
        <f t="shared" si="369"/>
        <v>49703.64</v>
      </c>
      <c r="I430" s="136">
        <f t="shared" si="370"/>
        <v>8232</v>
      </c>
      <c r="J430" s="143">
        <v>1926</v>
      </c>
      <c r="K430" s="136">
        <v>0</v>
      </c>
      <c r="L430" s="136">
        <v>93</v>
      </c>
      <c r="M430" s="136">
        <f>(N430+I430+K430+F430)*0.01</f>
        <v>2735.5134000000003</v>
      </c>
      <c r="N430" s="136">
        <f>F430/12</f>
        <v>20409.18</v>
      </c>
      <c r="O430" s="136"/>
      <c r="P430" s="136"/>
    </row>
    <row r="431" spans="1:16" x14ac:dyDescent="0.2">
      <c r="A431" s="134" t="s">
        <v>58</v>
      </c>
      <c r="B431" s="161"/>
      <c r="C431" s="134" t="s">
        <v>48</v>
      </c>
      <c r="D431" s="134">
        <v>8</v>
      </c>
      <c r="E431" s="136">
        <f>SUM(F431:P431)</f>
        <v>424428.83050000004</v>
      </c>
      <c r="F431" s="136">
        <f>21595*(B$5+1)*12</f>
        <v>277279.80000000005</v>
      </c>
      <c r="G431" s="136">
        <f>F431*0.22</f>
        <v>61001.556000000011</v>
      </c>
      <c r="H431" s="136">
        <f t="shared" si="369"/>
        <v>49703.64</v>
      </c>
      <c r="I431" s="136">
        <f t="shared" si="370"/>
        <v>8232</v>
      </c>
      <c r="J431" s="143">
        <v>1926</v>
      </c>
      <c r="K431" s="136">
        <v>0</v>
      </c>
      <c r="L431" s="136">
        <v>93</v>
      </c>
      <c r="M431" s="136">
        <f>(N431+I431+K431+F431)*0.01</f>
        <v>3086.1845000000008</v>
      </c>
      <c r="N431" s="136">
        <f>F431/12</f>
        <v>23106.650000000005</v>
      </c>
      <c r="O431" s="136"/>
      <c r="P431" s="136"/>
    </row>
    <row r="432" spans="1:16" x14ac:dyDescent="0.2">
      <c r="A432" s="134" t="s">
        <v>58</v>
      </c>
      <c r="B432" s="161"/>
      <c r="C432" s="134" t="s">
        <v>62</v>
      </c>
      <c r="D432" s="134">
        <v>10</v>
      </c>
      <c r="E432" s="136">
        <f>SUM(F432:P432)</f>
        <v>325075.30729999999</v>
      </c>
      <c r="F432" s="136">
        <f>15707*(B$5+1)*12</f>
        <v>201677.88</v>
      </c>
      <c r="G432" s="136">
        <f>F432*0.22</f>
        <v>44369.133600000001</v>
      </c>
      <c r="H432" s="136">
        <f t="shared" si="369"/>
        <v>49703.64</v>
      </c>
      <c r="I432" s="136">
        <f t="shared" si="370"/>
        <v>8232</v>
      </c>
      <c r="J432" s="143">
        <v>1926</v>
      </c>
      <c r="K432" s="136">
        <f t="shared" si="158"/>
        <v>0</v>
      </c>
      <c r="L432" s="136">
        <v>93</v>
      </c>
      <c r="M432" s="136">
        <f>(N432+I432+K432+F432)*0.01</f>
        <v>2267.1637000000001</v>
      </c>
      <c r="N432" s="136">
        <f>F432/12</f>
        <v>16806.490000000002</v>
      </c>
      <c r="O432" s="136"/>
      <c r="P432" s="136"/>
    </row>
    <row r="433" spans="1:16" x14ac:dyDescent="0.2">
      <c r="A433" s="134" t="s">
        <v>329</v>
      </c>
      <c r="B433" s="161"/>
      <c r="C433" s="179"/>
      <c r="D433" s="134"/>
      <c r="E433" s="136">
        <f t="shared" ref="E433:E435" si="379">SUM(F433:P433)</f>
        <v>0</v>
      </c>
      <c r="F433" s="136"/>
      <c r="G433" s="136"/>
      <c r="H433" s="136"/>
      <c r="I433" s="136"/>
      <c r="J433" s="143"/>
      <c r="K433" s="136"/>
      <c r="L433" s="136"/>
      <c r="M433" s="136"/>
      <c r="N433" s="136"/>
      <c r="O433" s="136">
        <v>0</v>
      </c>
      <c r="P433" s="136"/>
    </row>
    <row r="434" spans="1:16" x14ac:dyDescent="0.2">
      <c r="A434" s="134" t="s">
        <v>157</v>
      </c>
      <c r="B434" s="161"/>
      <c r="C434" s="179"/>
      <c r="D434" s="134"/>
      <c r="E434" s="136">
        <f t="shared" si="379"/>
        <v>65000</v>
      </c>
      <c r="F434" s="136"/>
      <c r="G434" s="136"/>
      <c r="H434" s="136"/>
      <c r="I434" s="136"/>
      <c r="J434" s="143"/>
      <c r="K434" s="136"/>
      <c r="L434" s="136"/>
      <c r="M434" s="136"/>
      <c r="N434" s="136"/>
      <c r="O434" s="136">
        <v>65000</v>
      </c>
      <c r="P434" s="136"/>
    </row>
    <row r="435" spans="1:16" x14ac:dyDescent="0.2">
      <c r="A435" s="134" t="s">
        <v>164</v>
      </c>
      <c r="B435" s="161"/>
      <c r="C435" s="179"/>
      <c r="D435" s="134"/>
      <c r="E435" s="136">
        <f t="shared" si="379"/>
        <v>67500</v>
      </c>
      <c r="F435" s="136"/>
      <c r="G435" s="136"/>
      <c r="H435" s="136"/>
      <c r="I435" s="136"/>
      <c r="J435" s="143"/>
      <c r="K435" s="136"/>
      <c r="L435" s="136"/>
      <c r="M435" s="136"/>
      <c r="N435" s="136"/>
      <c r="O435" s="136"/>
      <c r="P435" s="136">
        <v>67500</v>
      </c>
    </row>
    <row r="436" spans="1:16" ht="12" thickBot="1" x14ac:dyDescent="0.25">
      <c r="A436" s="134"/>
      <c r="B436" s="134"/>
      <c r="C436" s="134"/>
      <c r="D436" s="134"/>
      <c r="E436" s="149">
        <f t="shared" ref="E436:P436" si="380">SUM(E423:E435)</f>
        <v>7099168.5391000006</v>
      </c>
      <c r="F436" s="149">
        <f t="shared" si="380"/>
        <v>4066954.4400000004</v>
      </c>
      <c r="G436" s="149">
        <f t="shared" si="380"/>
        <v>741137.12639999995</v>
      </c>
      <c r="H436" s="149">
        <f t="shared" si="380"/>
        <v>497036.40000000008</v>
      </c>
      <c r="I436" s="149">
        <f t="shared" si="380"/>
        <v>152088</v>
      </c>
      <c r="J436" s="149">
        <f t="shared" si="380"/>
        <v>19260</v>
      </c>
      <c r="K436" s="149">
        <f t="shared" si="380"/>
        <v>1069680</v>
      </c>
      <c r="L436" s="149">
        <f t="shared" si="380"/>
        <v>930</v>
      </c>
      <c r="M436" s="149">
        <f t="shared" si="380"/>
        <v>41107.907900000013</v>
      </c>
      <c r="N436" s="149">
        <f t="shared" si="380"/>
        <v>378474.66480000009</v>
      </c>
      <c r="O436" s="149">
        <f t="shared" si="380"/>
        <v>65000</v>
      </c>
      <c r="P436" s="149">
        <f t="shared" si="380"/>
        <v>67500</v>
      </c>
    </row>
    <row r="437" spans="1:16" ht="12" thickTop="1" x14ac:dyDescent="0.2">
      <c r="A437" s="134" t="s">
        <v>200</v>
      </c>
      <c r="B437" s="134"/>
      <c r="C437" s="136"/>
      <c r="D437" s="167" t="s">
        <v>443</v>
      </c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</row>
    <row r="438" spans="1:16" x14ac:dyDescent="0.2">
      <c r="A438" s="134"/>
      <c r="B438" s="134"/>
      <c r="C438" s="134"/>
      <c r="D438" s="134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</row>
    <row r="439" spans="1:16" s="160" customFormat="1" x14ac:dyDescent="0.2">
      <c r="A439" s="133" t="s">
        <v>24</v>
      </c>
      <c r="B439" s="133"/>
      <c r="C439" s="180"/>
      <c r="D439" s="133"/>
      <c r="E439" s="158">
        <f t="shared" ref="E439:N439" si="381">E20+E41+E50+E64+E125+E193+E229+E287+E310+E321+E345+E357+E416+E436</f>
        <v>115463247.275775</v>
      </c>
      <c r="F439" s="158">
        <f t="shared" si="381"/>
        <v>68200035.570000023</v>
      </c>
      <c r="G439" s="158">
        <f t="shared" si="381"/>
        <v>14007034.705000004</v>
      </c>
      <c r="H439" s="158">
        <f t="shared" si="381"/>
        <v>8300507.879999998</v>
      </c>
      <c r="I439" s="158">
        <f t="shared" si="381"/>
        <v>1412088</v>
      </c>
      <c r="J439" s="158">
        <f t="shared" si="381"/>
        <v>321642</v>
      </c>
      <c r="K439" s="158">
        <f t="shared" si="381"/>
        <v>14927400</v>
      </c>
      <c r="L439" s="158">
        <f t="shared" si="381"/>
        <v>15996</v>
      </c>
      <c r="M439" s="158">
        <f t="shared" si="381"/>
        <v>794788.75047500001</v>
      </c>
      <c r="N439" s="158">
        <f t="shared" si="381"/>
        <v>5813586.3703000015</v>
      </c>
      <c r="O439" s="158"/>
      <c r="P439" s="158"/>
    </row>
    <row r="440" spans="1:16" x14ac:dyDescent="0.2">
      <c r="A440" s="134" t="s">
        <v>201</v>
      </c>
      <c r="B440" s="134"/>
      <c r="C440" s="134"/>
      <c r="D440" s="134"/>
      <c r="E440" s="136">
        <f>'OPERATING BUDGET'!C29</f>
        <v>0</v>
      </c>
      <c r="F440" s="136">
        <f>'OPERATING BUDGET'!C14</f>
        <v>0</v>
      </c>
      <c r="G440" s="136">
        <f>'OPERATING BUDGET'!C21</f>
        <v>824268</v>
      </c>
      <c r="H440" s="136">
        <f>'OPERATING BUDGET'!C19</f>
        <v>1412088</v>
      </c>
      <c r="I440" s="136">
        <f>'OPERATING BUDGET'!C18</f>
        <v>0</v>
      </c>
      <c r="J440" s="136">
        <f>'OPERATING BUDGET'!C24</f>
        <v>14927400</v>
      </c>
      <c r="K440" s="136">
        <f>'OPERATING BUDGET'!C23</f>
        <v>0</v>
      </c>
      <c r="L440" s="136">
        <f>'OPERATING BUDGET'!C26</f>
        <v>794788.75047500001</v>
      </c>
      <c r="M440" s="136">
        <f>'OPERATING BUDGET'!C25</f>
        <v>321642</v>
      </c>
      <c r="N440" s="136">
        <f>'OPERATING BUDGET'!C15</f>
        <v>68200035.570000023</v>
      </c>
      <c r="O440" s="136"/>
      <c r="P440" s="136"/>
    </row>
    <row r="441" spans="1:16" ht="12" thickBot="1" x14ac:dyDescent="0.25">
      <c r="A441" s="134" t="s">
        <v>202</v>
      </c>
      <c r="B441" s="134"/>
      <c r="C441" s="134"/>
      <c r="D441" s="134"/>
      <c r="E441" s="181">
        <f t="shared" ref="E441:N441" si="382">E439-E440</f>
        <v>115463247.275775</v>
      </c>
      <c r="F441" s="181">
        <f t="shared" si="382"/>
        <v>68200035.570000023</v>
      </c>
      <c r="G441" s="181">
        <f t="shared" si="382"/>
        <v>13182766.705000004</v>
      </c>
      <c r="H441" s="181">
        <f t="shared" si="382"/>
        <v>6888419.879999998</v>
      </c>
      <c r="I441" s="181">
        <f t="shared" si="382"/>
        <v>1412088</v>
      </c>
      <c r="J441" s="181">
        <f t="shared" si="382"/>
        <v>-14605758</v>
      </c>
      <c r="K441" s="181">
        <f t="shared" si="382"/>
        <v>14927400</v>
      </c>
      <c r="L441" s="181">
        <f t="shared" si="382"/>
        <v>-778792.75047500001</v>
      </c>
      <c r="M441" s="181">
        <f t="shared" si="382"/>
        <v>473146.75047500001</v>
      </c>
      <c r="N441" s="181">
        <f t="shared" si="382"/>
        <v>-62386449.19970002</v>
      </c>
      <c r="O441" s="144"/>
      <c r="P441" s="136"/>
    </row>
    <row r="442" spans="1:16" x14ac:dyDescent="0.2">
      <c r="A442" s="134" t="s">
        <v>201</v>
      </c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6"/>
    </row>
    <row r="443" spans="1:16" x14ac:dyDescent="0.2">
      <c r="A443" s="134"/>
      <c r="B443" s="134"/>
      <c r="C443" s="134"/>
      <c r="D443" s="134"/>
      <c r="E443" s="134"/>
      <c r="F443" s="136"/>
      <c r="G443" s="134"/>
      <c r="H443" s="134"/>
      <c r="I443" s="134"/>
      <c r="J443" s="136"/>
      <c r="K443" s="134"/>
      <c r="L443" s="134"/>
      <c r="M443" s="134"/>
      <c r="N443" s="134"/>
      <c r="O443" s="134"/>
      <c r="P443" s="136"/>
    </row>
    <row r="444" spans="1:16" s="160" customFormat="1" x14ac:dyDescent="0.2">
      <c r="A444" s="133"/>
      <c r="B444" s="133"/>
      <c r="C444" s="133"/>
      <c r="D444" s="133"/>
      <c r="E444" s="180">
        <f t="shared" ref="E444:N444" si="383">SUM(E14:E436)/2</f>
        <v>115463247.27577496</v>
      </c>
      <c r="F444" s="180">
        <f t="shared" si="383"/>
        <v>68200035.569999874</v>
      </c>
      <c r="G444" s="180">
        <f t="shared" si="383"/>
        <v>14007034.705000022</v>
      </c>
      <c r="H444" s="180">
        <f t="shared" si="383"/>
        <v>8300507.8800000167</v>
      </c>
      <c r="I444" s="180">
        <f t="shared" si="383"/>
        <v>1412088</v>
      </c>
      <c r="J444" s="180">
        <f t="shared" si="383"/>
        <v>321642</v>
      </c>
      <c r="K444" s="180">
        <f t="shared" si="383"/>
        <v>14927400</v>
      </c>
      <c r="L444" s="180">
        <f t="shared" si="383"/>
        <v>15996</v>
      </c>
      <c r="M444" s="180">
        <f t="shared" si="383"/>
        <v>794788.75047499978</v>
      </c>
      <c r="N444" s="180">
        <f t="shared" si="383"/>
        <v>5813586.3703000005</v>
      </c>
      <c r="O444" s="180"/>
      <c r="P444" s="158"/>
    </row>
    <row r="445" spans="1:16" x14ac:dyDescent="0.2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6"/>
    </row>
    <row r="446" spans="1:16" x14ac:dyDescent="0.2">
      <c r="A446" s="134"/>
      <c r="B446" s="134"/>
      <c r="C446" s="134"/>
      <c r="D446" s="134"/>
      <c r="E446" s="182">
        <f>E439-E444</f>
        <v>0</v>
      </c>
      <c r="F446" s="182">
        <f t="shared" ref="F446:N446" si="384">F439-F444</f>
        <v>1.4901161193847656E-7</v>
      </c>
      <c r="G446" s="182">
        <f t="shared" si="384"/>
        <v>-1.862645149230957E-8</v>
      </c>
      <c r="H446" s="182">
        <f t="shared" si="384"/>
        <v>-1.862645149230957E-8</v>
      </c>
      <c r="I446" s="182">
        <f t="shared" si="384"/>
        <v>0</v>
      </c>
      <c r="J446" s="182">
        <f t="shared" si="384"/>
        <v>0</v>
      </c>
      <c r="K446" s="182">
        <f t="shared" si="384"/>
        <v>0</v>
      </c>
      <c r="L446" s="182">
        <f t="shared" si="384"/>
        <v>0</v>
      </c>
      <c r="M446" s="182">
        <f t="shared" si="384"/>
        <v>0</v>
      </c>
      <c r="N446" s="182">
        <f t="shared" si="384"/>
        <v>0</v>
      </c>
      <c r="O446" s="182"/>
      <c r="P446" s="136"/>
    </row>
    <row r="447" spans="1:16" x14ac:dyDescent="0.2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6"/>
    </row>
    <row r="448" spans="1:16" x14ac:dyDescent="0.2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COUNCILLORS REMUNERATION</vt:lpstr>
      <vt:lpstr>REMUNERATION</vt:lpstr>
      <vt:lpstr>CAP BUD</vt:lpstr>
      <vt:lpstr>OPERATING BUDGET</vt:lpstr>
      <vt:lpstr>REMUNERATION UNITS</vt:lpstr>
      <vt:lpstr>'CAP BUD'!Criteria</vt:lpstr>
      <vt:lpstr>'CAP BUD'!Print_Area</vt:lpstr>
      <vt:lpstr>'OPERATING BUDGET'!Print_Area</vt:lpstr>
      <vt:lpstr>REMUNERATION!Print_Area</vt:lpstr>
      <vt:lpstr>'CAP BUD'!Print_Titles</vt:lpstr>
      <vt:lpstr>'OPERATING BUDGET'!Print_Titles</vt:lpstr>
    </vt:vector>
  </TitlesOfParts>
  <Company>EDM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Hennie</dc:creator>
  <cp:lastModifiedBy>Mandla M. Mabaso</cp:lastModifiedBy>
  <cp:lastPrinted>2017-08-28T13:10:49Z</cp:lastPrinted>
  <dcterms:created xsi:type="dcterms:W3CDTF">2003-05-07T05:59:03Z</dcterms:created>
  <dcterms:modified xsi:type="dcterms:W3CDTF">2017-10-03T07:45:20Z</dcterms:modified>
</cp:coreProperties>
</file>